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Z:\DH\Finance Committee\FCM 2019\FCM 02.19.19\"/>
    </mc:Choice>
  </mc:AlternateContent>
  <xr:revisionPtr revIDLastSave="0" documentId="8_{47124220-7C2A-4D19-AB63-87C7786483EC}" xr6:coauthVersionLast="38" xr6:coauthVersionMax="38" xr10:uidLastSave="{00000000-0000-0000-0000-000000000000}"/>
  <bookViews>
    <workbookView xWindow="0" yWindow="0" windowWidth="25200" windowHeight="11985" tabRatio="857" xr2:uid="{00000000-000D-0000-FFFF-FFFF00000000}"/>
  </bookViews>
  <sheets>
    <sheet name="Apportionment Bases" sheetId="6" r:id="rId1"/>
    <sheet name="Apportionment Assumptions" sheetId="3" r:id="rId2"/>
    <sheet name="PC2" sheetId="2" r:id="rId3"/>
    <sheet name="PC5" sheetId="4" r:id="rId4"/>
    <sheet name="PC8" sheetId="11" r:id="rId5"/>
    <sheet name="PC12" sheetId="23" r:id="rId6"/>
    <sheet name="PC15" sheetId="12" r:id="rId7"/>
    <sheet name="PC17" sheetId="15" r:id="rId8"/>
    <sheet name="PC21" sheetId="18" r:id="rId9"/>
    <sheet name="PC24" sheetId="20" r:id="rId10"/>
    <sheet name="Cost Summary" sheetId="21" r:id="rId11"/>
    <sheet name="Functional Category Changes" sheetId="28" r:id="rId12"/>
    <sheet name="Apportionment Differences" sheetId="29" r:id="rId13"/>
    <sheet name="Definitions" sheetId="27" r:id="rId14"/>
    <sheet name="Proposed Changes" sheetId="26" r:id="rId15"/>
    <sheet name="Budget Book Data" sheetId="5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28" l="1"/>
  <c r="M41" i="28"/>
  <c r="E24" i="21" l="1"/>
  <c r="F24" i="21"/>
  <c r="G24" i="21"/>
  <c r="H24" i="21"/>
  <c r="I24" i="21"/>
  <c r="J24" i="21"/>
  <c r="K24" i="21"/>
  <c r="D24" i="21"/>
  <c r="C26" i="28"/>
  <c r="C33" i="28"/>
  <c r="C34" i="28"/>
  <c r="C35" i="28"/>
  <c r="C36" i="28"/>
  <c r="C37" i="28"/>
  <c r="C38" i="28"/>
  <c r="C39" i="28"/>
  <c r="C32" i="28"/>
  <c r="C19" i="28"/>
  <c r="C20" i="28"/>
  <c r="C21" i="28"/>
  <c r="C22" i="28"/>
  <c r="C23" i="28"/>
  <c r="C24" i="28"/>
  <c r="C25" i="28"/>
  <c r="C18" i="28"/>
  <c r="G32" i="28" l="1"/>
  <c r="K32" i="28"/>
  <c r="L32" i="28"/>
  <c r="N32" i="28"/>
  <c r="F33" i="28"/>
  <c r="G33" i="28"/>
  <c r="H33" i="28"/>
  <c r="I33" i="28"/>
  <c r="N33" i="28"/>
  <c r="F34" i="28"/>
  <c r="G34" i="28"/>
  <c r="H34" i="28"/>
  <c r="I34" i="28"/>
  <c r="K34" i="28"/>
  <c r="L34" i="28"/>
  <c r="F35" i="28"/>
  <c r="G35" i="28"/>
  <c r="H35" i="28"/>
  <c r="I35" i="28"/>
  <c r="K35" i="28"/>
  <c r="L35" i="28"/>
  <c r="H36" i="28"/>
  <c r="K36" i="28"/>
  <c r="L36" i="28"/>
  <c r="N36" i="28"/>
  <c r="K37" i="28"/>
  <c r="L37" i="28"/>
  <c r="N37" i="28"/>
  <c r="F38" i="28"/>
  <c r="G38" i="28"/>
  <c r="H38" i="28"/>
  <c r="I38" i="28"/>
  <c r="K38" i="28"/>
  <c r="L38" i="28"/>
  <c r="F39" i="28"/>
  <c r="G39" i="28"/>
  <c r="H39" i="28"/>
  <c r="I39" i="28"/>
  <c r="N39" i="28"/>
  <c r="E33" i="28"/>
  <c r="E34" i="28"/>
  <c r="E35" i="28"/>
  <c r="E36" i="28"/>
  <c r="E38" i="28"/>
  <c r="E39" i="28"/>
  <c r="K13" i="28"/>
  <c r="L13" i="28"/>
  <c r="N13" i="28"/>
  <c r="F17" i="28"/>
  <c r="F31" i="28" s="1"/>
  <c r="G17" i="28"/>
  <c r="G31" i="28" s="1"/>
  <c r="H17" i="28"/>
  <c r="H31" i="28" s="1"/>
  <c r="I17" i="28"/>
  <c r="I31" i="28" s="1"/>
  <c r="K17" i="28"/>
  <c r="K31" i="28" s="1"/>
  <c r="L17" i="28"/>
  <c r="L31" i="28" s="1"/>
  <c r="N17" i="28"/>
  <c r="N31" i="28" s="1"/>
  <c r="E17" i="28"/>
  <c r="E31" i="28" s="1"/>
  <c r="N25" i="29"/>
  <c r="I34" i="21" l="1"/>
  <c r="I33" i="21"/>
  <c r="I29" i="21"/>
  <c r="I27" i="21"/>
  <c r="I26" i="21"/>
  <c r="G18" i="3" l="1"/>
  <c r="J18" i="3"/>
  <c r="K18" i="3"/>
  <c r="M18" i="3"/>
  <c r="N18" i="3"/>
  <c r="P18" i="3"/>
  <c r="S18" i="3"/>
  <c r="V18" i="3"/>
  <c r="W18" i="3"/>
  <c r="Z18" i="3"/>
  <c r="AB18" i="3"/>
  <c r="AH18" i="3"/>
  <c r="AK18" i="3"/>
  <c r="AL18" i="3"/>
  <c r="AN18" i="3"/>
  <c r="AO18" i="3"/>
  <c r="AD16" i="3"/>
  <c r="AD15" i="3"/>
  <c r="AD11" i="3"/>
  <c r="AD9" i="3"/>
  <c r="AD8" i="3"/>
  <c r="AM16" i="3" l="1"/>
  <c r="AM15" i="3"/>
  <c r="AM12" i="3"/>
  <c r="AM11" i="3"/>
  <c r="AM9" i="3"/>
  <c r="AM8" i="3"/>
  <c r="X16" i="3"/>
  <c r="X15" i="3"/>
  <c r="X9" i="3"/>
  <c r="T14" i="3"/>
  <c r="T12" i="3"/>
  <c r="T10" i="3"/>
  <c r="T9" i="3"/>
  <c r="T8" i="3"/>
  <c r="T7" i="3"/>
  <c r="K18" i="21"/>
  <c r="J18" i="21"/>
  <c r="I18" i="21"/>
  <c r="H18" i="21"/>
  <c r="G18" i="21"/>
  <c r="F18" i="21"/>
  <c r="E18" i="21"/>
  <c r="D18" i="21"/>
  <c r="R16" i="3"/>
  <c r="R15" i="3"/>
  <c r="R8" i="3"/>
  <c r="R9" i="3"/>
  <c r="R10" i="3"/>
  <c r="R11" i="3"/>
  <c r="R12" i="3"/>
  <c r="R13" i="3"/>
  <c r="R7" i="3"/>
  <c r="U14" i="3"/>
  <c r="U12" i="3"/>
  <c r="U8" i="3"/>
  <c r="U9" i="3"/>
  <c r="U10" i="3"/>
  <c r="U7" i="3"/>
  <c r="L84" i="12"/>
  <c r="L20" i="12"/>
  <c r="P22" i="28" l="1"/>
  <c r="P9" i="28" s="1"/>
  <c r="Q9" i="28" s="1"/>
  <c r="G25" i="29"/>
  <c r="S25" i="29" s="1"/>
  <c r="S26" i="29" s="1"/>
  <c r="P23" i="28"/>
  <c r="P10" i="28" s="1"/>
  <c r="Q10" i="28" s="1"/>
  <c r="H25" i="29"/>
  <c r="T25" i="29" s="1"/>
  <c r="T26" i="29" s="1"/>
  <c r="P24" i="28"/>
  <c r="P11" i="28" s="1"/>
  <c r="Q11" i="28" s="1"/>
  <c r="I25" i="29"/>
  <c r="U25" i="29" s="1"/>
  <c r="U26" i="29" s="1"/>
  <c r="P25" i="28"/>
  <c r="P12" i="28" s="1"/>
  <c r="Q12" i="28" s="1"/>
  <c r="J25" i="29"/>
  <c r="V25" i="29" s="1"/>
  <c r="V26" i="29" s="1"/>
  <c r="P18" i="28"/>
  <c r="C25" i="29"/>
  <c r="P21" i="28"/>
  <c r="P8" i="28" s="1"/>
  <c r="Q8" i="28" s="1"/>
  <c r="F25" i="29"/>
  <c r="R25" i="29" s="1"/>
  <c r="R26" i="29" s="1"/>
  <c r="P19" i="28"/>
  <c r="P6" i="28" s="1"/>
  <c r="Q6" i="28" s="1"/>
  <c r="D25" i="29"/>
  <c r="P25" i="29" s="1"/>
  <c r="P26" i="29" s="1"/>
  <c r="P20" i="28"/>
  <c r="P7" i="28" s="1"/>
  <c r="Q7" i="28" s="1"/>
  <c r="E25" i="29"/>
  <c r="Q25" i="29" s="1"/>
  <c r="Q26" i="29" s="1"/>
  <c r="B31" i="29"/>
  <c r="B32" i="29"/>
  <c r="B33" i="29"/>
  <c r="B30" i="29"/>
  <c r="N4" i="29"/>
  <c r="N5" i="29"/>
  <c r="N6" i="29"/>
  <c r="N3" i="29"/>
  <c r="W24" i="29"/>
  <c r="W23" i="29"/>
  <c r="W22" i="29"/>
  <c r="W21" i="29"/>
  <c r="W20" i="29"/>
  <c r="W19" i="29"/>
  <c r="W18" i="29"/>
  <c r="W17" i="29"/>
  <c r="W16" i="29"/>
  <c r="W15" i="29"/>
  <c r="W14" i="29"/>
  <c r="W13" i="29"/>
  <c r="W12" i="29"/>
  <c r="W11" i="29"/>
  <c r="W10" i="29"/>
  <c r="W9" i="29"/>
  <c r="W8" i="29"/>
  <c r="W7" i="29"/>
  <c r="W6" i="29"/>
  <c r="W5" i="29"/>
  <c r="W4" i="29"/>
  <c r="W3" i="29"/>
  <c r="O2" i="29"/>
  <c r="P2" i="29"/>
  <c r="Q2" i="29"/>
  <c r="R2" i="29"/>
  <c r="S2" i="29"/>
  <c r="T2" i="29"/>
  <c r="U2" i="29"/>
  <c r="V2" i="29"/>
  <c r="W2" i="29"/>
  <c r="X2" i="29"/>
  <c r="C29" i="29"/>
  <c r="D29" i="29"/>
  <c r="E29" i="29"/>
  <c r="F29" i="29"/>
  <c r="G29" i="29"/>
  <c r="H29" i="29"/>
  <c r="I29" i="29"/>
  <c r="J29" i="29"/>
  <c r="L29" i="29"/>
  <c r="B29" i="29"/>
  <c r="N2" i="29"/>
  <c r="B12" i="29"/>
  <c r="B39" i="29" s="1"/>
  <c r="B13" i="29"/>
  <c r="N13" i="29" s="1"/>
  <c r="B11" i="29"/>
  <c r="N11" i="29" s="1"/>
  <c r="B15" i="29"/>
  <c r="N15" i="29" s="1"/>
  <c r="B16" i="29"/>
  <c r="N16" i="29" s="1"/>
  <c r="B17" i="29"/>
  <c r="N17" i="29" s="1"/>
  <c r="B18" i="29"/>
  <c r="N18" i="29" s="1"/>
  <c r="B19" i="29"/>
  <c r="N19" i="29" s="1"/>
  <c r="B20" i="29"/>
  <c r="B47" i="29" s="1"/>
  <c r="B21" i="29"/>
  <c r="B48" i="29" s="1"/>
  <c r="B22" i="29"/>
  <c r="N22" i="29" s="1"/>
  <c r="B23" i="29"/>
  <c r="N23" i="29" s="1"/>
  <c r="B24" i="29"/>
  <c r="N24" i="29" s="1"/>
  <c r="B14" i="29"/>
  <c r="N14" i="29" s="1"/>
  <c r="B8" i="29"/>
  <c r="N8" i="29" s="1"/>
  <c r="B9" i="29"/>
  <c r="N9" i="29" s="1"/>
  <c r="B10" i="29"/>
  <c r="N10" i="29" s="1"/>
  <c r="B7" i="29"/>
  <c r="N7" i="29" s="1"/>
  <c r="P5" i="28" l="1"/>
  <c r="B46" i="29"/>
  <c r="B38" i="29"/>
  <c r="O25" i="29"/>
  <c r="O26" i="29" s="1"/>
  <c r="K25" i="29"/>
  <c r="W25" i="29" s="1"/>
  <c r="P26" i="28"/>
  <c r="W26" i="29"/>
  <c r="N20" i="29"/>
  <c r="N12" i="29"/>
  <c r="B45" i="29"/>
  <c r="B37" i="29"/>
  <c r="B44" i="29"/>
  <c r="B36" i="29"/>
  <c r="B51" i="29"/>
  <c r="B43" i="29"/>
  <c r="B35" i="29"/>
  <c r="B50" i="29"/>
  <c r="B42" i="29"/>
  <c r="B34" i="29"/>
  <c r="B49" i="29"/>
  <c r="B41" i="29"/>
  <c r="N21" i="29"/>
  <c r="B40" i="29"/>
  <c r="Q5" i="28" l="1"/>
  <c r="P13" i="28"/>
  <c r="Q13" i="28"/>
  <c r="I13" i="28"/>
  <c r="H13" i="28"/>
  <c r="G13" i="28"/>
  <c r="F13" i="28"/>
  <c r="E13" i="28"/>
  <c r="F14" i="28" l="1"/>
  <c r="H14" i="28"/>
  <c r="E14" i="28"/>
  <c r="N14" i="28"/>
  <c r="K14" i="28"/>
  <c r="L14" i="28"/>
  <c r="G14" i="28"/>
  <c r="I14" i="28"/>
  <c r="AF8" i="2"/>
  <c r="AG8" i="2"/>
  <c r="AF9" i="2"/>
  <c r="AG9" i="2"/>
  <c r="AF10" i="2"/>
  <c r="AG10" i="2"/>
  <c r="AG7" i="2"/>
  <c r="AF7" i="2"/>
  <c r="Q72" i="26" l="1"/>
  <c r="M72" i="26"/>
  <c r="X11" i="23" l="1"/>
  <c r="W11" i="23"/>
  <c r="U17" i="3"/>
  <c r="U18" i="3" s="1"/>
  <c r="AL10" i="6"/>
  <c r="AM10" i="6"/>
  <c r="AN10" i="6"/>
  <c r="AO10" i="6"/>
  <c r="AL11" i="6"/>
  <c r="AM11" i="6"/>
  <c r="AN11" i="6"/>
  <c r="AO11" i="6"/>
  <c r="AK11" i="6"/>
  <c r="AK10" i="6"/>
  <c r="AF11" i="6"/>
  <c r="AG11" i="6"/>
  <c r="AI11" i="6"/>
  <c r="AG10" i="6"/>
  <c r="AI10" i="6"/>
  <c r="AF10" i="6"/>
  <c r="L44" i="20"/>
  <c r="L86" i="12"/>
  <c r="N11" i="6"/>
  <c r="P11" i="6"/>
  <c r="Q11" i="6"/>
  <c r="M11" i="6"/>
  <c r="Q28" i="26" l="1"/>
  <c r="I78" i="26" l="1"/>
  <c r="I77" i="26"/>
  <c r="I76" i="26"/>
  <c r="I75" i="26"/>
  <c r="I74" i="26"/>
  <c r="I73" i="26"/>
  <c r="I72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45" i="26"/>
  <c r="I44" i="26"/>
  <c r="I41" i="26"/>
  <c r="I40" i="26"/>
  <c r="I38" i="26"/>
  <c r="I35" i="26"/>
  <c r="I34" i="26"/>
  <c r="I33" i="26"/>
  <c r="I32" i="26"/>
  <c r="I31" i="26"/>
  <c r="I29" i="26"/>
  <c r="I28" i="26"/>
  <c r="I23" i="26"/>
  <c r="I22" i="26"/>
  <c r="I16" i="26"/>
  <c r="I17" i="26"/>
  <c r="I18" i="26"/>
  <c r="I19" i="26"/>
  <c r="I20" i="26"/>
  <c r="E15" i="26"/>
  <c r="I13" i="26"/>
  <c r="I14" i="26"/>
  <c r="I15" i="26"/>
  <c r="I12" i="26"/>
  <c r="I79" i="26"/>
  <c r="I71" i="26"/>
  <c r="I52" i="26"/>
  <c r="I51" i="26"/>
  <c r="I50" i="26"/>
  <c r="I49" i="26"/>
  <c r="I48" i="26"/>
  <c r="I47" i="26"/>
  <c r="I46" i="26"/>
  <c r="I43" i="26"/>
  <c r="I42" i="26"/>
  <c r="I39" i="26"/>
  <c r="I37" i="26"/>
  <c r="I36" i="26"/>
  <c r="I30" i="26"/>
  <c r="I27" i="26"/>
  <c r="I26" i="26"/>
  <c r="I25" i="26"/>
  <c r="I24" i="26"/>
  <c r="I21" i="26"/>
  <c r="I11" i="26"/>
  <c r="I10" i="26"/>
  <c r="I9" i="26"/>
  <c r="I8" i="26"/>
  <c r="I7" i="26"/>
  <c r="I6" i="26"/>
  <c r="I5" i="26"/>
  <c r="I4" i="26"/>
  <c r="Q4" i="26"/>
  <c r="Q5" i="26"/>
  <c r="Q6" i="26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44" i="26"/>
  <c r="Q45" i="26"/>
  <c r="Q46" i="26"/>
  <c r="Q47" i="26"/>
  <c r="Q48" i="26"/>
  <c r="Q49" i="26"/>
  <c r="Q50" i="26"/>
  <c r="Q51" i="26"/>
  <c r="Q52" i="26"/>
  <c r="Q53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67" i="26"/>
  <c r="Q68" i="26"/>
  <c r="Q69" i="26"/>
  <c r="Q70" i="26"/>
  <c r="Q73" i="26"/>
  <c r="Q74" i="26"/>
  <c r="Q75" i="26"/>
  <c r="Q76" i="26"/>
  <c r="Q77" i="26"/>
  <c r="Q78" i="26"/>
  <c r="Q79" i="26"/>
  <c r="M71" i="26"/>
  <c r="E71" i="26"/>
  <c r="E17" i="26"/>
  <c r="AO9" i="6"/>
  <c r="AM9" i="6"/>
  <c r="AN9" i="6"/>
  <c r="AL9" i="6"/>
  <c r="AO8" i="6"/>
  <c r="AN8" i="6"/>
  <c r="AM8" i="6"/>
  <c r="AL8" i="6"/>
  <c r="AK9" i="6"/>
  <c r="AK8" i="6"/>
  <c r="AI9" i="6"/>
  <c r="AI8" i="6"/>
  <c r="AG9" i="6"/>
  <c r="AG8" i="6"/>
  <c r="AF9" i="6"/>
  <c r="AF8" i="6"/>
  <c r="Q9" i="6"/>
  <c r="P9" i="6"/>
  <c r="N9" i="6"/>
  <c r="M9" i="6"/>
  <c r="Q8" i="6"/>
  <c r="P8" i="6"/>
  <c r="N8" i="6"/>
  <c r="M8" i="6"/>
  <c r="B27" i="6"/>
  <c r="C18" i="29" s="1"/>
  <c r="C45" i="29" s="1"/>
  <c r="C27" i="6"/>
  <c r="D18" i="29" s="1"/>
  <c r="D45" i="29" s="1"/>
  <c r="D27" i="6"/>
  <c r="E18" i="29" s="1"/>
  <c r="E45" i="29" s="1"/>
  <c r="E27" i="6"/>
  <c r="F18" i="29" s="1"/>
  <c r="F45" i="29" s="1"/>
  <c r="F27" i="6"/>
  <c r="G18" i="29" s="1"/>
  <c r="G45" i="29" s="1"/>
  <c r="G27" i="6"/>
  <c r="H18" i="29" s="1"/>
  <c r="H45" i="29" s="1"/>
  <c r="H27" i="6"/>
  <c r="I18" i="29" s="1"/>
  <c r="I45" i="29" s="1"/>
  <c r="I27" i="6"/>
  <c r="J18" i="29" s="1"/>
  <c r="J45" i="29" s="1"/>
  <c r="Q16" i="12"/>
  <c r="W16" i="12" s="1"/>
  <c r="R16" i="12"/>
  <c r="X16" i="12" s="1"/>
  <c r="T16" i="12"/>
  <c r="Z16" i="12" s="1"/>
  <c r="H16" i="12"/>
  <c r="I16" i="12"/>
  <c r="J16" i="12"/>
  <c r="K16" i="12"/>
  <c r="F16" i="12"/>
  <c r="M62" i="26"/>
  <c r="M59" i="26"/>
  <c r="M56" i="26"/>
  <c r="M58" i="26"/>
  <c r="M57" i="26"/>
  <c r="M79" i="26"/>
  <c r="M78" i="26"/>
  <c r="M77" i="26"/>
  <c r="M76" i="26"/>
  <c r="M75" i="26"/>
  <c r="M74" i="26"/>
  <c r="M73" i="26"/>
  <c r="M70" i="26"/>
  <c r="M69" i="26"/>
  <c r="M68" i="26"/>
  <c r="M67" i="26"/>
  <c r="M66" i="26"/>
  <c r="M65" i="26"/>
  <c r="M64" i="26"/>
  <c r="M63" i="26"/>
  <c r="M61" i="26"/>
  <c r="M60" i="26"/>
  <c r="M55" i="26"/>
  <c r="M54" i="26"/>
  <c r="M53" i="26"/>
  <c r="M52" i="26"/>
  <c r="M51" i="26"/>
  <c r="M50" i="26"/>
  <c r="M49" i="26"/>
  <c r="M48" i="26"/>
  <c r="M47" i="26"/>
  <c r="M46" i="26"/>
  <c r="M45" i="26"/>
  <c r="M44" i="26"/>
  <c r="M43" i="26"/>
  <c r="M42" i="26"/>
  <c r="M41" i="26"/>
  <c r="M40" i="26"/>
  <c r="M39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10" i="26"/>
  <c r="M9" i="26"/>
  <c r="M8" i="26"/>
  <c r="M7" i="26"/>
  <c r="M6" i="26"/>
  <c r="M5" i="26"/>
  <c r="M4" i="26"/>
  <c r="K18" i="29" l="1"/>
  <c r="K45" i="29" s="1"/>
  <c r="J27" i="6"/>
  <c r="AA16" i="12"/>
  <c r="U5" i="26" l="1"/>
  <c r="U6" i="26"/>
  <c r="U7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U29" i="26"/>
  <c r="U30" i="26"/>
  <c r="U31" i="26"/>
  <c r="U32" i="26"/>
  <c r="U33" i="26"/>
  <c r="U34" i="26"/>
  <c r="U35" i="26"/>
  <c r="U36" i="26"/>
  <c r="U37" i="26"/>
  <c r="U38" i="26"/>
  <c r="U39" i="26"/>
  <c r="U40" i="26"/>
  <c r="U41" i="26"/>
  <c r="U42" i="26"/>
  <c r="U43" i="26"/>
  <c r="U44" i="26"/>
  <c r="U45" i="26"/>
  <c r="U46" i="26"/>
  <c r="U47" i="26"/>
  <c r="U48" i="26"/>
  <c r="U49" i="26"/>
  <c r="U50" i="26"/>
  <c r="U51" i="26"/>
  <c r="U52" i="26"/>
  <c r="U53" i="26"/>
  <c r="U54" i="26"/>
  <c r="U55" i="26"/>
  <c r="U56" i="26"/>
  <c r="U57" i="26"/>
  <c r="U58" i="26"/>
  <c r="U59" i="26"/>
  <c r="U60" i="26"/>
  <c r="U61" i="26"/>
  <c r="U62" i="26"/>
  <c r="U63" i="26"/>
  <c r="U64" i="26"/>
  <c r="U65" i="26"/>
  <c r="U66" i="26"/>
  <c r="U67" i="26"/>
  <c r="U68" i="26"/>
  <c r="U69" i="26"/>
  <c r="U70" i="26"/>
  <c r="U71" i="26"/>
  <c r="U72" i="26"/>
  <c r="U73" i="26"/>
  <c r="U74" i="26"/>
  <c r="U75" i="26"/>
  <c r="U76" i="26"/>
  <c r="U77" i="26"/>
  <c r="U78" i="26"/>
  <c r="U79" i="26"/>
  <c r="U4" i="26"/>
  <c r="E5" i="26"/>
  <c r="E6" i="26"/>
  <c r="E7" i="26"/>
  <c r="E8" i="26"/>
  <c r="E9" i="26"/>
  <c r="E10" i="26"/>
  <c r="E11" i="26"/>
  <c r="E12" i="26"/>
  <c r="E13" i="26"/>
  <c r="E14" i="26"/>
  <c r="E16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2" i="26"/>
  <c r="E73" i="26"/>
  <c r="E74" i="26"/>
  <c r="E75" i="26"/>
  <c r="E76" i="26"/>
  <c r="E77" i="26"/>
  <c r="E78" i="26"/>
  <c r="E79" i="26"/>
  <c r="E4" i="26"/>
  <c r="Q59" i="12" l="1"/>
  <c r="R59" i="12"/>
  <c r="T59" i="12"/>
  <c r="Q31" i="12"/>
  <c r="R31" i="12"/>
  <c r="T31" i="12"/>
  <c r="Q41" i="20"/>
  <c r="W41" i="20" s="1"/>
  <c r="T41" i="20"/>
  <c r="Z41" i="20" s="1"/>
  <c r="H42" i="20"/>
  <c r="I42" i="20"/>
  <c r="J42" i="20"/>
  <c r="K42" i="20"/>
  <c r="H43" i="20"/>
  <c r="I43" i="20"/>
  <c r="J43" i="20"/>
  <c r="K43" i="20"/>
  <c r="H40" i="20"/>
  <c r="H41" i="20"/>
  <c r="I41" i="20"/>
  <c r="J41" i="20"/>
  <c r="K41" i="20"/>
  <c r="X9" i="18"/>
  <c r="W9" i="18"/>
  <c r="AA41" i="20" l="1"/>
  <c r="P85" i="15"/>
  <c r="V85" i="15" s="1"/>
  <c r="P10" i="11"/>
  <c r="S10" i="11" s="1"/>
  <c r="Q10" i="11"/>
  <c r="T10" i="11" s="1"/>
  <c r="F10" i="11"/>
  <c r="K10" i="11"/>
  <c r="J10" i="11"/>
  <c r="I10" i="11"/>
  <c r="H10" i="11"/>
  <c r="Q15" i="4"/>
  <c r="W15" i="4" s="1"/>
  <c r="R15" i="4"/>
  <c r="T15" i="4"/>
  <c r="Z15" i="4" s="1"/>
  <c r="K15" i="4"/>
  <c r="H15" i="4"/>
  <c r="I15" i="4"/>
  <c r="J15" i="4"/>
  <c r="F15" i="4"/>
  <c r="AA15" i="4" l="1"/>
  <c r="AM15" i="4"/>
  <c r="BW15" i="4"/>
  <c r="AY15" i="4"/>
  <c r="AS15" i="4"/>
  <c r="BE15" i="4"/>
  <c r="AJ15" i="4"/>
  <c r="BT15" i="4"/>
  <c r="AP15" i="4"/>
  <c r="AV15" i="4"/>
  <c r="BB15" i="4"/>
  <c r="D35" i="21" l="1"/>
  <c r="P17" i="23"/>
  <c r="Q17" i="23"/>
  <c r="P18" i="23"/>
  <c r="Q18" i="23"/>
  <c r="P19" i="23"/>
  <c r="Q19" i="23"/>
  <c r="P20" i="23"/>
  <c r="Q20" i="23"/>
  <c r="P21" i="23"/>
  <c r="Q21" i="23"/>
  <c r="P22" i="23"/>
  <c r="Q22" i="23"/>
  <c r="P23" i="23"/>
  <c r="Q23" i="23"/>
  <c r="Q16" i="23"/>
  <c r="P16" i="23"/>
  <c r="S16" i="23" s="1"/>
  <c r="AU16" i="23" s="1"/>
  <c r="P8" i="23"/>
  <c r="S8" i="23" s="1"/>
  <c r="AU8" i="23" s="1"/>
  <c r="Q8" i="23"/>
  <c r="T8" i="23" s="1"/>
  <c r="AV8" i="23" s="1"/>
  <c r="P9" i="23"/>
  <c r="S9" i="23" s="1"/>
  <c r="AU9" i="23" s="1"/>
  <c r="Q9" i="23"/>
  <c r="T9" i="23" s="1"/>
  <c r="AV9" i="23" s="1"/>
  <c r="P10" i="23"/>
  <c r="S10" i="23" s="1"/>
  <c r="AU10" i="23" s="1"/>
  <c r="Q10" i="23"/>
  <c r="T10" i="23" s="1"/>
  <c r="AV10" i="23" s="1"/>
  <c r="P11" i="23"/>
  <c r="S11" i="23" s="1"/>
  <c r="AU11" i="23" s="1"/>
  <c r="Q11" i="23"/>
  <c r="T11" i="23" s="1"/>
  <c r="AV11" i="23" s="1"/>
  <c r="P12" i="23"/>
  <c r="S12" i="23" s="1"/>
  <c r="AU12" i="23" s="1"/>
  <c r="Q12" i="23"/>
  <c r="T12" i="23" s="1"/>
  <c r="AV12" i="23" s="1"/>
  <c r="Q7" i="23"/>
  <c r="T7" i="23" s="1"/>
  <c r="AV7" i="23" s="1"/>
  <c r="P7" i="23"/>
  <c r="S7" i="23" s="1"/>
  <c r="AV13" i="23" l="1"/>
  <c r="S13" i="23"/>
  <c r="AU7" i="23"/>
  <c r="AU13" i="23" s="1"/>
  <c r="P7" i="2"/>
  <c r="AD10" i="2" l="1"/>
  <c r="AC10" i="2"/>
  <c r="AD9" i="2"/>
  <c r="AC9" i="2"/>
  <c r="AD8" i="2"/>
  <c r="AC8" i="2"/>
  <c r="AD7" i="2"/>
  <c r="AC7" i="2"/>
  <c r="E7" i="6"/>
  <c r="E8" i="6"/>
  <c r="E9" i="6"/>
  <c r="E10" i="6"/>
  <c r="F5" i="29" s="1"/>
  <c r="F32" i="29" s="1"/>
  <c r="E11" i="6"/>
  <c r="E12" i="6"/>
  <c r="F6" i="29" s="1"/>
  <c r="F33" i="29" s="1"/>
  <c r="E14" i="6"/>
  <c r="F7" i="29" s="1"/>
  <c r="F34" i="29" s="1"/>
  <c r="E15" i="6"/>
  <c r="F8" i="29" s="1"/>
  <c r="F35" i="29" s="1"/>
  <c r="E16" i="6"/>
  <c r="F9" i="29" s="1"/>
  <c r="F36" i="29" s="1"/>
  <c r="E17" i="6"/>
  <c r="F10" i="29" s="1"/>
  <c r="F37" i="29" s="1"/>
  <c r="E23" i="6"/>
  <c r="F14" i="29" s="1"/>
  <c r="F41" i="29" s="1"/>
  <c r="E24" i="6"/>
  <c r="F15" i="29" s="1"/>
  <c r="F42" i="29" s="1"/>
  <c r="E25" i="6"/>
  <c r="F16" i="29" s="1"/>
  <c r="F43" i="29" s="1"/>
  <c r="E26" i="6"/>
  <c r="F17" i="29" s="1"/>
  <c r="F44" i="29" s="1"/>
  <c r="E28" i="6"/>
  <c r="F19" i="29" s="1"/>
  <c r="F46" i="29" s="1"/>
  <c r="E29" i="6"/>
  <c r="F20" i="29" s="1"/>
  <c r="F47" i="29" s="1"/>
  <c r="E30" i="6"/>
  <c r="F21" i="29" s="1"/>
  <c r="F48" i="29" s="1"/>
  <c r="E31" i="6"/>
  <c r="F22" i="29" s="1"/>
  <c r="F49" i="29" s="1"/>
  <c r="E19" i="6"/>
  <c r="F11" i="29" s="1"/>
  <c r="F38" i="29" s="1"/>
  <c r="E20" i="6"/>
  <c r="F12" i="29" s="1"/>
  <c r="F39" i="29" s="1"/>
  <c r="E21" i="6"/>
  <c r="F13" i="29" s="1"/>
  <c r="F40" i="29" s="1"/>
  <c r="E32" i="6"/>
  <c r="F23" i="29" s="1"/>
  <c r="F50" i="29" s="1"/>
  <c r="E33" i="6"/>
  <c r="F24" i="29" s="1"/>
  <c r="F51" i="29" s="1"/>
  <c r="E6" i="6"/>
  <c r="F3" i="29" s="1"/>
  <c r="X12" i="23"/>
  <c r="W12" i="23"/>
  <c r="AX16" i="23" s="1"/>
  <c r="W8" i="23"/>
  <c r="X8" i="23"/>
  <c r="AD12" i="23" s="1"/>
  <c r="W9" i="23"/>
  <c r="X9" i="23"/>
  <c r="W10" i="23"/>
  <c r="AI10" i="23" s="1"/>
  <c r="X10" i="23"/>
  <c r="AJ10" i="23" s="1"/>
  <c r="X7" i="23"/>
  <c r="W7" i="23"/>
  <c r="Z16" i="23" s="1"/>
  <c r="S17" i="23"/>
  <c r="AU17" i="23" s="1"/>
  <c r="T17" i="23"/>
  <c r="AV17" i="23" s="1"/>
  <c r="S18" i="23"/>
  <c r="AU18" i="23" s="1"/>
  <c r="T18" i="23"/>
  <c r="AV18" i="23" s="1"/>
  <c r="S19" i="23"/>
  <c r="AU19" i="23" s="1"/>
  <c r="T19" i="23"/>
  <c r="S20" i="23"/>
  <c r="AU20" i="23" s="1"/>
  <c r="T20" i="23"/>
  <c r="AV20" i="23" s="1"/>
  <c r="S21" i="23"/>
  <c r="AU21" i="23" s="1"/>
  <c r="T21" i="23"/>
  <c r="S22" i="23"/>
  <c r="AU22" i="23" s="1"/>
  <c r="T22" i="23"/>
  <c r="AV22" i="23" s="1"/>
  <c r="S23" i="23"/>
  <c r="AU23" i="23" s="1"/>
  <c r="T23" i="23"/>
  <c r="AV23" i="23" s="1"/>
  <c r="T16" i="23"/>
  <c r="AV16" i="23" s="1"/>
  <c r="Q7" i="12"/>
  <c r="BF32" i="6"/>
  <c r="BE32" i="6"/>
  <c r="BD32" i="6"/>
  <c r="BC32" i="6"/>
  <c r="BB32" i="6"/>
  <c r="BA32" i="6"/>
  <c r="I32" i="6"/>
  <c r="J23" i="29" s="1"/>
  <c r="J50" i="29" s="1"/>
  <c r="H32" i="6"/>
  <c r="I23" i="29" s="1"/>
  <c r="I50" i="29" s="1"/>
  <c r="G32" i="6"/>
  <c r="H23" i="29" s="1"/>
  <c r="H50" i="29" s="1"/>
  <c r="F32" i="6"/>
  <c r="G23" i="29" s="1"/>
  <c r="G50" i="29" s="1"/>
  <c r="D32" i="6"/>
  <c r="E23" i="29" s="1"/>
  <c r="E50" i="29" s="1"/>
  <c r="C32" i="6"/>
  <c r="D23" i="29" s="1"/>
  <c r="D50" i="29" s="1"/>
  <c r="B32" i="6"/>
  <c r="C23" i="29" s="1"/>
  <c r="C50" i="29" s="1"/>
  <c r="H17" i="23"/>
  <c r="I17" i="23"/>
  <c r="J17" i="23"/>
  <c r="K17" i="23"/>
  <c r="H18" i="23"/>
  <c r="I18" i="23"/>
  <c r="J18" i="23"/>
  <c r="K18" i="23"/>
  <c r="H19" i="23"/>
  <c r="I19" i="23"/>
  <c r="J19" i="23"/>
  <c r="K19" i="23"/>
  <c r="H20" i="23"/>
  <c r="I20" i="23"/>
  <c r="J20" i="23"/>
  <c r="K20" i="23"/>
  <c r="H21" i="23"/>
  <c r="I21" i="23"/>
  <c r="J21" i="23"/>
  <c r="K21" i="23"/>
  <c r="H22" i="23"/>
  <c r="I22" i="23"/>
  <c r="J22" i="23"/>
  <c r="K22" i="23"/>
  <c r="H23" i="23"/>
  <c r="I23" i="23"/>
  <c r="J23" i="23"/>
  <c r="K23" i="23"/>
  <c r="K16" i="23"/>
  <c r="J16" i="23"/>
  <c r="I16" i="23"/>
  <c r="H16" i="23"/>
  <c r="H8" i="23"/>
  <c r="I8" i="23"/>
  <c r="J8" i="23"/>
  <c r="K8" i="23"/>
  <c r="H9" i="23"/>
  <c r="I9" i="23"/>
  <c r="J9" i="23"/>
  <c r="K9" i="23"/>
  <c r="H10" i="23"/>
  <c r="I10" i="23"/>
  <c r="J10" i="23"/>
  <c r="K10" i="23"/>
  <c r="H11" i="23"/>
  <c r="I11" i="23"/>
  <c r="J11" i="23"/>
  <c r="K11" i="23"/>
  <c r="H12" i="23"/>
  <c r="I12" i="23"/>
  <c r="J12" i="23"/>
  <c r="K12" i="23"/>
  <c r="J7" i="23"/>
  <c r="H7" i="23"/>
  <c r="I7" i="23"/>
  <c r="K7" i="23"/>
  <c r="L24" i="23"/>
  <c r="L26" i="23" s="1"/>
  <c r="L13" i="23"/>
  <c r="F4" i="29" l="1"/>
  <c r="F31" i="29" s="1"/>
  <c r="F30" i="29"/>
  <c r="F26" i="29"/>
  <c r="F52" i="29" s="1"/>
  <c r="AA16" i="23"/>
  <c r="K23" i="29"/>
  <c r="K50" i="29" s="1"/>
  <c r="AJ19" i="23"/>
  <c r="AV19" i="23"/>
  <c r="AD21" i="23"/>
  <c r="AV21" i="23"/>
  <c r="AU24" i="23"/>
  <c r="AU26" i="23" s="1"/>
  <c r="AJ23" i="23"/>
  <c r="AY16" i="23"/>
  <c r="AY9" i="23"/>
  <c r="AY18" i="23"/>
  <c r="AY11" i="23"/>
  <c r="AY20" i="23"/>
  <c r="AY8" i="23"/>
  <c r="AY17" i="23"/>
  <c r="E35" i="6"/>
  <c r="U7" i="23"/>
  <c r="Z12" i="23"/>
  <c r="Z8" i="23"/>
  <c r="AX21" i="23"/>
  <c r="AX11" i="23"/>
  <c r="Z23" i="23"/>
  <c r="Z19" i="23"/>
  <c r="AC22" i="23"/>
  <c r="AC18" i="23"/>
  <c r="U17" i="23"/>
  <c r="U20" i="23"/>
  <c r="U16" i="23"/>
  <c r="U23" i="23"/>
  <c r="AI9" i="23"/>
  <c r="U22" i="23"/>
  <c r="U12" i="23"/>
  <c r="U21" i="23"/>
  <c r="U11" i="23"/>
  <c r="U10" i="23"/>
  <c r="U19" i="23"/>
  <c r="U9" i="23"/>
  <c r="U18" i="23"/>
  <c r="U8" i="23"/>
  <c r="AI17" i="23"/>
  <c r="AI20" i="23"/>
  <c r="AI7" i="23"/>
  <c r="AD22" i="23"/>
  <c r="AD7" i="23"/>
  <c r="AJ12" i="23"/>
  <c r="AX7" i="23"/>
  <c r="AY22" i="23"/>
  <c r="AX23" i="23"/>
  <c r="AX19" i="23"/>
  <c r="AC11" i="23"/>
  <c r="AX10" i="23"/>
  <c r="BG32" i="6"/>
  <c r="AY7" i="23"/>
  <c r="AX9" i="23"/>
  <c r="AX22" i="23"/>
  <c r="AX18" i="23"/>
  <c r="J32" i="6"/>
  <c r="AY12" i="23"/>
  <c r="AY21" i="23"/>
  <c r="AX12" i="23"/>
  <c r="AX8" i="23"/>
  <c r="AX17" i="23"/>
  <c r="AX20" i="23"/>
  <c r="AY10" i="23"/>
  <c r="AY23" i="23"/>
  <c r="AY19" i="23"/>
  <c r="AD23" i="23"/>
  <c r="AF11" i="23"/>
  <c r="AJ16" i="23"/>
  <c r="AD10" i="23"/>
  <c r="AJ9" i="23"/>
  <c r="AD18" i="23"/>
  <c r="AG10" i="23"/>
  <c r="AJ7" i="23"/>
  <c r="AF9" i="23"/>
  <c r="AG8" i="23"/>
  <c r="AC9" i="23"/>
  <c r="AJ8" i="23"/>
  <c r="AG11" i="23"/>
  <c r="AF16" i="23"/>
  <c r="AG20" i="23"/>
  <c r="Z7" i="23"/>
  <c r="AD19" i="23"/>
  <c r="AF22" i="23"/>
  <c r="AI23" i="23"/>
  <c r="AG17" i="23"/>
  <c r="AG16" i="23"/>
  <c r="AF21" i="23"/>
  <c r="AG23" i="23"/>
  <c r="AD17" i="23"/>
  <c r="AF20" i="23"/>
  <c r="AJ22" i="23"/>
  <c r="AA22" i="23"/>
  <c r="AG7" i="23"/>
  <c r="AG19" i="23"/>
  <c r="AI19" i="23"/>
  <c r="AG21" i="23"/>
  <c r="AI11" i="23"/>
  <c r="AA18" i="23"/>
  <c r="AF18" i="23"/>
  <c r="AJ18" i="23"/>
  <c r="Z18" i="23"/>
  <c r="Z11" i="23"/>
  <c r="AA9" i="23"/>
  <c r="AA21" i="23"/>
  <c r="AA17" i="23"/>
  <c r="AC10" i="23"/>
  <c r="AD20" i="23"/>
  <c r="AC16" i="23"/>
  <c r="AF10" i="23"/>
  <c r="AF23" i="23"/>
  <c r="AF19" i="23"/>
  <c r="AI12" i="23"/>
  <c r="AI8" i="23"/>
  <c r="AI22" i="23"/>
  <c r="AI18" i="23"/>
  <c r="Z22" i="23"/>
  <c r="AC21" i="23"/>
  <c r="AC17" i="23"/>
  <c r="Z21" i="23"/>
  <c r="Z17" i="23"/>
  <c r="AD9" i="23"/>
  <c r="AD16" i="23"/>
  <c r="AC20" i="23"/>
  <c r="AF7" i="23"/>
  <c r="AG9" i="23"/>
  <c r="AG22" i="23"/>
  <c r="AG18" i="23"/>
  <c r="AJ11" i="23"/>
  <c r="AJ21" i="23"/>
  <c r="AJ17" i="23"/>
  <c r="AC12" i="23"/>
  <c r="Z20" i="23"/>
  <c r="AD8" i="23"/>
  <c r="AC23" i="23"/>
  <c r="AC19" i="23"/>
  <c r="AG12" i="23"/>
  <c r="AI16" i="23"/>
  <c r="AJ20" i="23"/>
  <c r="AI21" i="23"/>
  <c r="Z9" i="23"/>
  <c r="AA23" i="23"/>
  <c r="AA19" i="23"/>
  <c r="AC8" i="23"/>
  <c r="AF12" i="23"/>
  <c r="AF8" i="23"/>
  <c r="AF17" i="23"/>
  <c r="Z10" i="23"/>
  <c r="AA20" i="23"/>
  <c r="AD11" i="23"/>
  <c r="AC7" i="23"/>
  <c r="AA10" i="23"/>
  <c r="AA12" i="23"/>
  <c r="AA8" i="23"/>
  <c r="AA7" i="23"/>
  <c r="AA11" i="23"/>
  <c r="W13" i="23"/>
  <c r="X13" i="23"/>
  <c r="T13" i="23"/>
  <c r="S24" i="23"/>
  <c r="S26" i="23" s="1"/>
  <c r="T24" i="23"/>
  <c r="K13" i="23"/>
  <c r="H24" i="23"/>
  <c r="J24" i="23"/>
  <c r="I24" i="23"/>
  <c r="I13" i="23"/>
  <c r="J13" i="23"/>
  <c r="H13" i="23"/>
  <c r="K24" i="23"/>
  <c r="Z24" i="23" l="1"/>
  <c r="T26" i="23"/>
  <c r="N21" i="28" s="1"/>
  <c r="AV24" i="23"/>
  <c r="AV26" i="23" s="1"/>
  <c r="G13" i="21" s="1"/>
  <c r="AX24" i="23"/>
  <c r="AY24" i="23"/>
  <c r="AY13" i="23"/>
  <c r="AX13" i="23"/>
  <c r="AG24" i="23"/>
  <c r="Z13" i="23"/>
  <c r="AG13" i="23"/>
  <c r="AD13" i="23"/>
  <c r="AF24" i="23"/>
  <c r="AC24" i="23"/>
  <c r="AJ24" i="23"/>
  <c r="AD24" i="23"/>
  <c r="AI13" i="23"/>
  <c r="AJ13" i="23"/>
  <c r="AF13" i="23"/>
  <c r="AI24" i="23"/>
  <c r="AC13" i="23"/>
  <c r="AA24" i="23"/>
  <c r="AA13" i="23"/>
  <c r="AU27" i="23"/>
  <c r="AU28" i="23" s="1"/>
  <c r="Q21" i="28" l="1"/>
  <c r="N35" i="28"/>
  <c r="P35" i="28" s="1"/>
  <c r="AV27" i="23"/>
  <c r="AV28" i="23" s="1"/>
  <c r="L32" i="21"/>
  <c r="AY26" i="23"/>
  <c r="AY27" i="23" s="1"/>
  <c r="AY28" i="23" s="1"/>
  <c r="AD26" i="23"/>
  <c r="AD27" i="23" s="1"/>
  <c r="AD28" i="23" s="1"/>
  <c r="AX26" i="23"/>
  <c r="AX27" i="23" s="1"/>
  <c r="AX28" i="23" s="1"/>
  <c r="AC26" i="23"/>
  <c r="AC27" i="23" s="1"/>
  <c r="AC28" i="23" s="1"/>
  <c r="Z26" i="23"/>
  <c r="Z27" i="23" s="1"/>
  <c r="Z28" i="23" s="1"/>
  <c r="AF26" i="23"/>
  <c r="AF27" i="23" s="1"/>
  <c r="AF28" i="23" s="1"/>
  <c r="AJ26" i="23"/>
  <c r="AJ27" i="23" s="1"/>
  <c r="AJ28" i="23" s="1"/>
  <c r="AG26" i="23"/>
  <c r="AG27" i="23" s="1"/>
  <c r="AG28" i="23" s="1"/>
  <c r="AI26" i="23"/>
  <c r="AI27" i="23" s="1"/>
  <c r="AI28" i="23" s="1"/>
  <c r="AA26" i="23"/>
  <c r="AA27" i="23" s="1"/>
  <c r="AA28" i="23" s="1"/>
  <c r="G35" i="21" l="1"/>
  <c r="G11" i="21"/>
  <c r="G9" i="21"/>
  <c r="G15" i="21"/>
  <c r="G10" i="21"/>
  <c r="G8" i="21"/>
  <c r="G19" i="21" l="1"/>
  <c r="G51" i="21"/>
  <c r="L31" i="11" l="1"/>
  <c r="L18" i="4"/>
  <c r="L51" i="4"/>
  <c r="C6" i="6"/>
  <c r="B6" i="6"/>
  <c r="D8" i="6"/>
  <c r="D7" i="6"/>
  <c r="C7" i="6"/>
  <c r="B7" i="6"/>
  <c r="F7" i="6"/>
  <c r="G7" i="6"/>
  <c r="H7" i="6"/>
  <c r="I7" i="6"/>
  <c r="C8" i="6"/>
  <c r="F8" i="6"/>
  <c r="G8" i="6"/>
  <c r="H4" i="29" s="1"/>
  <c r="H31" i="29" s="1"/>
  <c r="H8" i="6"/>
  <c r="I8" i="6"/>
  <c r="C9" i="6"/>
  <c r="D9" i="6"/>
  <c r="F9" i="6"/>
  <c r="G9" i="6"/>
  <c r="H9" i="6"/>
  <c r="I9" i="6"/>
  <c r="B10" i="6"/>
  <c r="C10" i="6"/>
  <c r="D10" i="6"/>
  <c r="F10" i="6"/>
  <c r="G10" i="6"/>
  <c r="H10" i="6"/>
  <c r="I10" i="6"/>
  <c r="B11" i="6"/>
  <c r="C11" i="6"/>
  <c r="D11" i="6"/>
  <c r="F11" i="6"/>
  <c r="G11" i="6"/>
  <c r="H11" i="6"/>
  <c r="I11" i="6"/>
  <c r="B12" i="6"/>
  <c r="C6" i="29" s="1"/>
  <c r="C33" i="29" s="1"/>
  <c r="C12" i="6"/>
  <c r="D6" i="29" s="1"/>
  <c r="D33" i="29" s="1"/>
  <c r="D12" i="6"/>
  <c r="E6" i="29" s="1"/>
  <c r="E33" i="29" s="1"/>
  <c r="F12" i="6"/>
  <c r="G6" i="29" s="1"/>
  <c r="G33" i="29" s="1"/>
  <c r="G12" i="6"/>
  <c r="H6" i="29" s="1"/>
  <c r="H33" i="29" s="1"/>
  <c r="H12" i="6"/>
  <c r="I6" i="29" s="1"/>
  <c r="I33" i="29" s="1"/>
  <c r="I12" i="6"/>
  <c r="J6" i="29" s="1"/>
  <c r="J33" i="29" s="1"/>
  <c r="B14" i="6"/>
  <c r="C7" i="29" s="1"/>
  <c r="C34" i="29" s="1"/>
  <c r="C14" i="6"/>
  <c r="D7" i="29" s="1"/>
  <c r="D34" i="29" s="1"/>
  <c r="D14" i="6"/>
  <c r="E7" i="29" s="1"/>
  <c r="E34" i="29" s="1"/>
  <c r="F14" i="6"/>
  <c r="G7" i="29" s="1"/>
  <c r="G34" i="29" s="1"/>
  <c r="G14" i="6"/>
  <c r="H7" i="29" s="1"/>
  <c r="H34" i="29" s="1"/>
  <c r="H14" i="6"/>
  <c r="I7" i="29" s="1"/>
  <c r="I34" i="29" s="1"/>
  <c r="I14" i="6"/>
  <c r="J7" i="29" s="1"/>
  <c r="J34" i="29" s="1"/>
  <c r="B15" i="6"/>
  <c r="C8" i="29" s="1"/>
  <c r="C35" i="29" s="1"/>
  <c r="C15" i="6"/>
  <c r="D8" i="29" s="1"/>
  <c r="D35" i="29" s="1"/>
  <c r="D15" i="6"/>
  <c r="E8" i="29" s="1"/>
  <c r="E35" i="29" s="1"/>
  <c r="F15" i="6"/>
  <c r="G8" i="29" s="1"/>
  <c r="G35" i="29" s="1"/>
  <c r="G15" i="6"/>
  <c r="H8" i="29" s="1"/>
  <c r="H35" i="29" s="1"/>
  <c r="H15" i="6"/>
  <c r="I8" i="29" s="1"/>
  <c r="I35" i="29" s="1"/>
  <c r="I15" i="6"/>
  <c r="J8" i="29" s="1"/>
  <c r="J35" i="29" s="1"/>
  <c r="B16" i="6"/>
  <c r="C9" i="29" s="1"/>
  <c r="C36" i="29" s="1"/>
  <c r="C16" i="6"/>
  <c r="D9" i="29" s="1"/>
  <c r="D36" i="29" s="1"/>
  <c r="D16" i="6"/>
  <c r="E9" i="29" s="1"/>
  <c r="E36" i="29" s="1"/>
  <c r="F16" i="6"/>
  <c r="G9" i="29" s="1"/>
  <c r="G36" i="29" s="1"/>
  <c r="G16" i="6"/>
  <c r="H9" i="29" s="1"/>
  <c r="H36" i="29" s="1"/>
  <c r="H16" i="6"/>
  <c r="I9" i="29" s="1"/>
  <c r="I36" i="29" s="1"/>
  <c r="I16" i="6"/>
  <c r="J9" i="29" s="1"/>
  <c r="J36" i="29" s="1"/>
  <c r="B17" i="6"/>
  <c r="C10" i="29" s="1"/>
  <c r="C37" i="29" s="1"/>
  <c r="C17" i="6"/>
  <c r="D10" i="29" s="1"/>
  <c r="D37" i="29" s="1"/>
  <c r="D17" i="6"/>
  <c r="E10" i="29" s="1"/>
  <c r="E37" i="29" s="1"/>
  <c r="F17" i="6"/>
  <c r="G10" i="29" s="1"/>
  <c r="G37" i="29" s="1"/>
  <c r="G17" i="6"/>
  <c r="H10" i="29" s="1"/>
  <c r="H37" i="29" s="1"/>
  <c r="H17" i="6"/>
  <c r="I10" i="29" s="1"/>
  <c r="I37" i="29" s="1"/>
  <c r="I17" i="6"/>
  <c r="J10" i="29" s="1"/>
  <c r="J37" i="29" s="1"/>
  <c r="B23" i="6"/>
  <c r="C14" i="29" s="1"/>
  <c r="C41" i="29" s="1"/>
  <c r="C23" i="6"/>
  <c r="D14" i="29" s="1"/>
  <c r="D41" i="29" s="1"/>
  <c r="D23" i="6"/>
  <c r="E14" i="29" s="1"/>
  <c r="E41" i="29" s="1"/>
  <c r="F23" i="6"/>
  <c r="G14" i="29" s="1"/>
  <c r="G41" i="29" s="1"/>
  <c r="G23" i="6"/>
  <c r="H14" i="29" s="1"/>
  <c r="H41" i="29" s="1"/>
  <c r="H23" i="6"/>
  <c r="I14" i="29" s="1"/>
  <c r="I41" i="29" s="1"/>
  <c r="I23" i="6"/>
  <c r="J14" i="29" s="1"/>
  <c r="J41" i="29" s="1"/>
  <c r="B24" i="6"/>
  <c r="C15" i="29" s="1"/>
  <c r="C42" i="29" s="1"/>
  <c r="C24" i="6"/>
  <c r="D15" i="29" s="1"/>
  <c r="D42" i="29" s="1"/>
  <c r="D24" i="6"/>
  <c r="E15" i="29" s="1"/>
  <c r="E42" i="29" s="1"/>
  <c r="F24" i="6"/>
  <c r="G15" i="29" s="1"/>
  <c r="G42" i="29" s="1"/>
  <c r="G24" i="6"/>
  <c r="H15" i="29" s="1"/>
  <c r="H42" i="29" s="1"/>
  <c r="H24" i="6"/>
  <c r="I15" i="29" s="1"/>
  <c r="I42" i="29" s="1"/>
  <c r="I24" i="6"/>
  <c r="J15" i="29" s="1"/>
  <c r="J42" i="29" s="1"/>
  <c r="B25" i="6"/>
  <c r="C16" i="29" s="1"/>
  <c r="C43" i="29" s="1"/>
  <c r="C25" i="6"/>
  <c r="D16" i="29" s="1"/>
  <c r="D43" i="29" s="1"/>
  <c r="D25" i="6"/>
  <c r="E16" i="29" s="1"/>
  <c r="E43" i="29" s="1"/>
  <c r="F25" i="6"/>
  <c r="G16" i="29" s="1"/>
  <c r="G43" i="29" s="1"/>
  <c r="G25" i="6"/>
  <c r="H16" i="29" s="1"/>
  <c r="H43" i="29" s="1"/>
  <c r="H25" i="6"/>
  <c r="I16" i="29" s="1"/>
  <c r="I43" i="29" s="1"/>
  <c r="I25" i="6"/>
  <c r="J16" i="29" s="1"/>
  <c r="J43" i="29" s="1"/>
  <c r="B26" i="6"/>
  <c r="C17" i="29" s="1"/>
  <c r="C44" i="29" s="1"/>
  <c r="C26" i="6"/>
  <c r="D17" i="29" s="1"/>
  <c r="D44" i="29" s="1"/>
  <c r="D26" i="6"/>
  <c r="E17" i="29" s="1"/>
  <c r="E44" i="29" s="1"/>
  <c r="F26" i="6"/>
  <c r="G17" i="29" s="1"/>
  <c r="G44" i="29" s="1"/>
  <c r="G26" i="6"/>
  <c r="H17" i="29" s="1"/>
  <c r="H44" i="29" s="1"/>
  <c r="H26" i="6"/>
  <c r="I17" i="29" s="1"/>
  <c r="I44" i="29" s="1"/>
  <c r="I26" i="6"/>
  <c r="J17" i="29" s="1"/>
  <c r="J44" i="29" s="1"/>
  <c r="B28" i="6"/>
  <c r="C19" i="29" s="1"/>
  <c r="C46" i="29" s="1"/>
  <c r="C28" i="6"/>
  <c r="D19" i="29" s="1"/>
  <c r="D46" i="29" s="1"/>
  <c r="D28" i="6"/>
  <c r="E19" i="29" s="1"/>
  <c r="E46" i="29" s="1"/>
  <c r="F28" i="6"/>
  <c r="G19" i="29" s="1"/>
  <c r="G46" i="29" s="1"/>
  <c r="G28" i="6"/>
  <c r="H19" i="29" s="1"/>
  <c r="H46" i="29" s="1"/>
  <c r="H28" i="6"/>
  <c r="I19" i="29" s="1"/>
  <c r="I46" i="29" s="1"/>
  <c r="I28" i="6"/>
  <c r="J19" i="29" s="1"/>
  <c r="J46" i="29" s="1"/>
  <c r="B29" i="6"/>
  <c r="C20" i="29" s="1"/>
  <c r="C47" i="29" s="1"/>
  <c r="C29" i="6"/>
  <c r="D20" i="29" s="1"/>
  <c r="D47" i="29" s="1"/>
  <c r="D29" i="6"/>
  <c r="E20" i="29" s="1"/>
  <c r="E47" i="29" s="1"/>
  <c r="F29" i="6"/>
  <c r="G20" i="29" s="1"/>
  <c r="G47" i="29" s="1"/>
  <c r="G29" i="6"/>
  <c r="H20" i="29" s="1"/>
  <c r="H47" i="29" s="1"/>
  <c r="H29" i="6"/>
  <c r="I20" i="29" s="1"/>
  <c r="I47" i="29" s="1"/>
  <c r="I29" i="6"/>
  <c r="J20" i="29" s="1"/>
  <c r="J47" i="29" s="1"/>
  <c r="B30" i="6"/>
  <c r="C21" i="29" s="1"/>
  <c r="C48" i="29" s="1"/>
  <c r="C30" i="6"/>
  <c r="D21" i="29" s="1"/>
  <c r="D48" i="29" s="1"/>
  <c r="D30" i="6"/>
  <c r="E21" i="29" s="1"/>
  <c r="E48" i="29" s="1"/>
  <c r="F30" i="6"/>
  <c r="G21" i="29" s="1"/>
  <c r="G48" i="29" s="1"/>
  <c r="G30" i="6"/>
  <c r="H21" i="29" s="1"/>
  <c r="H48" i="29" s="1"/>
  <c r="H30" i="6"/>
  <c r="I21" i="29" s="1"/>
  <c r="I48" i="29" s="1"/>
  <c r="I30" i="6"/>
  <c r="J21" i="29" s="1"/>
  <c r="J48" i="29" s="1"/>
  <c r="B31" i="6"/>
  <c r="C22" i="29" s="1"/>
  <c r="C49" i="29" s="1"/>
  <c r="C31" i="6"/>
  <c r="D22" i="29" s="1"/>
  <c r="D49" i="29" s="1"/>
  <c r="D31" i="6"/>
  <c r="E22" i="29" s="1"/>
  <c r="E49" i="29" s="1"/>
  <c r="F31" i="6"/>
  <c r="G22" i="29" s="1"/>
  <c r="G49" i="29" s="1"/>
  <c r="G31" i="6"/>
  <c r="H22" i="29" s="1"/>
  <c r="H49" i="29" s="1"/>
  <c r="H31" i="6"/>
  <c r="I22" i="29" s="1"/>
  <c r="I49" i="29" s="1"/>
  <c r="I31" i="6"/>
  <c r="J22" i="29" s="1"/>
  <c r="J49" i="29" s="1"/>
  <c r="B19" i="6"/>
  <c r="C11" i="29" s="1"/>
  <c r="C38" i="29" s="1"/>
  <c r="C19" i="6"/>
  <c r="D11" i="29" s="1"/>
  <c r="D38" i="29" s="1"/>
  <c r="D19" i="6"/>
  <c r="E11" i="29" s="1"/>
  <c r="E38" i="29" s="1"/>
  <c r="F19" i="6"/>
  <c r="G11" i="29" s="1"/>
  <c r="G38" i="29" s="1"/>
  <c r="G19" i="6"/>
  <c r="H11" i="29" s="1"/>
  <c r="H38" i="29" s="1"/>
  <c r="H19" i="6"/>
  <c r="I11" i="29" s="1"/>
  <c r="I38" i="29" s="1"/>
  <c r="I19" i="6"/>
  <c r="J11" i="29" s="1"/>
  <c r="J38" i="29" s="1"/>
  <c r="B20" i="6"/>
  <c r="C12" i="29" s="1"/>
  <c r="C39" i="29" s="1"/>
  <c r="C20" i="6"/>
  <c r="D12" i="29" s="1"/>
  <c r="D39" i="29" s="1"/>
  <c r="D20" i="6"/>
  <c r="E12" i="29" s="1"/>
  <c r="E39" i="29" s="1"/>
  <c r="F20" i="6"/>
  <c r="G12" i="29" s="1"/>
  <c r="G39" i="29" s="1"/>
  <c r="G20" i="6"/>
  <c r="H12" i="29" s="1"/>
  <c r="H39" i="29" s="1"/>
  <c r="H20" i="6"/>
  <c r="I12" i="29" s="1"/>
  <c r="I39" i="29" s="1"/>
  <c r="I20" i="6"/>
  <c r="J12" i="29" s="1"/>
  <c r="J39" i="29" s="1"/>
  <c r="B21" i="6"/>
  <c r="C13" i="29" s="1"/>
  <c r="C40" i="29" s="1"/>
  <c r="C21" i="6"/>
  <c r="D13" i="29" s="1"/>
  <c r="D40" i="29" s="1"/>
  <c r="D21" i="6"/>
  <c r="E13" i="29" s="1"/>
  <c r="E40" i="29" s="1"/>
  <c r="F21" i="6"/>
  <c r="G13" i="29" s="1"/>
  <c r="G40" i="29" s="1"/>
  <c r="G21" i="6"/>
  <c r="H13" i="29" s="1"/>
  <c r="H40" i="29" s="1"/>
  <c r="H21" i="6"/>
  <c r="I13" i="29" s="1"/>
  <c r="I40" i="29" s="1"/>
  <c r="I21" i="6"/>
  <c r="J13" i="29" s="1"/>
  <c r="J40" i="29" s="1"/>
  <c r="B33" i="6"/>
  <c r="C24" i="29" s="1"/>
  <c r="C51" i="29" s="1"/>
  <c r="C33" i="6"/>
  <c r="D24" i="29" s="1"/>
  <c r="D51" i="29" s="1"/>
  <c r="D33" i="6"/>
  <c r="E24" i="29" s="1"/>
  <c r="E51" i="29" s="1"/>
  <c r="F33" i="6"/>
  <c r="G24" i="29" s="1"/>
  <c r="G51" i="29" s="1"/>
  <c r="G33" i="6"/>
  <c r="H24" i="29" s="1"/>
  <c r="H51" i="29" s="1"/>
  <c r="H33" i="6"/>
  <c r="I24" i="29" s="1"/>
  <c r="I51" i="29" s="1"/>
  <c r="I33" i="6"/>
  <c r="J24" i="29" s="1"/>
  <c r="J51" i="29" s="1"/>
  <c r="D6" i="6"/>
  <c r="F6" i="6"/>
  <c r="G3" i="29" s="1"/>
  <c r="G6" i="6"/>
  <c r="H3" i="29" s="1"/>
  <c r="I6" i="6"/>
  <c r="J3" i="29" s="1"/>
  <c r="H6" i="6"/>
  <c r="I3" i="29" l="1"/>
  <c r="E3" i="29"/>
  <c r="E30" i="29" s="1"/>
  <c r="H5" i="29"/>
  <c r="H32" i="29" s="1"/>
  <c r="J5" i="29"/>
  <c r="J32" i="29" s="1"/>
  <c r="G4" i="29"/>
  <c r="G31" i="29" s="1"/>
  <c r="H30" i="29"/>
  <c r="H26" i="29"/>
  <c r="H52" i="29" s="1"/>
  <c r="G30" i="29"/>
  <c r="I5" i="29"/>
  <c r="I32" i="29" s="1"/>
  <c r="D4" i="29"/>
  <c r="D31" i="29" s="1"/>
  <c r="E4" i="29"/>
  <c r="E31" i="29" s="1"/>
  <c r="G5" i="29"/>
  <c r="G32" i="29" s="1"/>
  <c r="D3" i="29"/>
  <c r="E5" i="29"/>
  <c r="E32" i="29" s="1"/>
  <c r="I30" i="29"/>
  <c r="D5" i="29"/>
  <c r="D32" i="29" s="1"/>
  <c r="J4" i="29"/>
  <c r="J31" i="29" s="1"/>
  <c r="J30" i="29"/>
  <c r="C5" i="29"/>
  <c r="C32" i="29" s="1"/>
  <c r="I4" i="29"/>
  <c r="I31" i="29" s="1"/>
  <c r="K15" i="29"/>
  <c r="K42" i="29" s="1"/>
  <c r="K16" i="29"/>
  <c r="K43" i="29" s="1"/>
  <c r="K24" i="29"/>
  <c r="K51" i="29" s="1"/>
  <c r="K17" i="29"/>
  <c r="K44" i="29" s="1"/>
  <c r="K6" i="29"/>
  <c r="K33" i="29" s="1"/>
  <c r="K13" i="29"/>
  <c r="K40" i="29" s="1"/>
  <c r="K19" i="29"/>
  <c r="K46" i="29" s="1"/>
  <c r="K7" i="29"/>
  <c r="K34" i="29" s="1"/>
  <c r="K20" i="29"/>
  <c r="K47" i="29" s="1"/>
  <c r="K21" i="29"/>
  <c r="K48" i="29" s="1"/>
  <c r="K9" i="29"/>
  <c r="K36" i="29" s="1"/>
  <c r="K12" i="29"/>
  <c r="K39" i="29" s="1"/>
  <c r="K8" i="29"/>
  <c r="K35" i="29" s="1"/>
  <c r="K22" i="29"/>
  <c r="K49" i="29" s="1"/>
  <c r="K10" i="29"/>
  <c r="K37" i="29" s="1"/>
  <c r="C3" i="29"/>
  <c r="K11" i="29"/>
  <c r="K38" i="29" s="1"/>
  <c r="K14" i="29"/>
  <c r="K41" i="29" s="1"/>
  <c r="J14" i="6"/>
  <c r="L53" i="4"/>
  <c r="H35" i="6"/>
  <c r="I35" i="6"/>
  <c r="G35" i="6"/>
  <c r="F35" i="6"/>
  <c r="D35" i="6"/>
  <c r="C35" i="6"/>
  <c r="J24" i="6"/>
  <c r="J21" i="6"/>
  <c r="J31" i="6"/>
  <c r="J17" i="6"/>
  <c r="J7" i="6"/>
  <c r="J33" i="6"/>
  <c r="J20" i="6"/>
  <c r="J19" i="6"/>
  <c r="J30" i="6"/>
  <c r="J29" i="6"/>
  <c r="J28" i="6"/>
  <c r="J26" i="6"/>
  <c r="J25" i="6"/>
  <c r="J23" i="6"/>
  <c r="J16" i="6"/>
  <c r="J15" i="6"/>
  <c r="J11" i="6"/>
  <c r="J10" i="6"/>
  <c r="J6" i="6"/>
  <c r="J12" i="6"/>
  <c r="E26" i="29" l="1"/>
  <c r="E52" i="29" s="1"/>
  <c r="K5" i="29"/>
  <c r="K32" i="29" s="1"/>
  <c r="I26" i="29"/>
  <c r="I52" i="29" s="1"/>
  <c r="C30" i="29"/>
  <c r="G26" i="29"/>
  <c r="G52" i="29" s="1"/>
  <c r="D30" i="29"/>
  <c r="D26" i="29"/>
  <c r="D52" i="29" s="1"/>
  <c r="J26" i="29"/>
  <c r="J52" i="29" s="1"/>
  <c r="K3" i="29"/>
  <c r="X8" i="11"/>
  <c r="AD10" i="11" s="1"/>
  <c r="X9" i="11"/>
  <c r="AG10" i="11" s="1"/>
  <c r="X10" i="11"/>
  <c r="AJ10" i="11" s="1"/>
  <c r="X11" i="11"/>
  <c r="AM10" i="11" s="1"/>
  <c r="X12" i="11"/>
  <c r="AP10" i="11" s="1"/>
  <c r="X13" i="11"/>
  <c r="AS10" i="11" s="1"/>
  <c r="X14" i="11"/>
  <c r="BB10" i="11" s="1"/>
  <c r="X15" i="11"/>
  <c r="BE10" i="11" s="1"/>
  <c r="X7" i="11"/>
  <c r="R17" i="3"/>
  <c r="R18" i="3" s="1"/>
  <c r="K30" i="29" l="1"/>
  <c r="AA10" i="11"/>
  <c r="L15" i="21"/>
  <c r="BE33" i="6"/>
  <c r="BF7" i="6"/>
  <c r="BF8" i="6"/>
  <c r="BF9" i="6"/>
  <c r="BF10" i="6"/>
  <c r="BF11" i="6"/>
  <c r="BF12" i="6"/>
  <c r="BF14" i="6"/>
  <c r="BF15" i="6"/>
  <c r="BF16" i="6"/>
  <c r="BF17" i="6"/>
  <c r="BF23" i="6"/>
  <c r="BF24" i="6"/>
  <c r="BF25" i="6"/>
  <c r="BF26" i="6"/>
  <c r="BF28" i="6"/>
  <c r="BF29" i="6"/>
  <c r="BF30" i="6"/>
  <c r="BF31" i="6"/>
  <c r="BF19" i="6"/>
  <c r="BF20" i="6"/>
  <c r="BF21" i="6"/>
  <c r="BF33" i="6"/>
  <c r="BF6" i="6"/>
  <c r="BE7" i="6"/>
  <c r="BE8" i="6"/>
  <c r="BE9" i="6"/>
  <c r="BE10" i="6"/>
  <c r="BE11" i="6"/>
  <c r="BE12" i="6"/>
  <c r="BE14" i="6"/>
  <c r="BE15" i="6"/>
  <c r="BE16" i="6"/>
  <c r="BE17" i="6"/>
  <c r="BE23" i="6"/>
  <c r="BE24" i="6"/>
  <c r="BE25" i="6"/>
  <c r="BE26" i="6"/>
  <c r="BE28" i="6"/>
  <c r="BE29" i="6"/>
  <c r="BE30" i="6"/>
  <c r="BE31" i="6"/>
  <c r="BE19" i="6"/>
  <c r="BE20" i="6"/>
  <c r="BE21" i="6"/>
  <c r="BE6" i="6"/>
  <c r="BA7" i="6"/>
  <c r="BB7" i="6"/>
  <c r="BA8" i="6"/>
  <c r="BB8" i="6"/>
  <c r="BA9" i="6"/>
  <c r="BB9" i="6"/>
  <c r="BA10" i="6"/>
  <c r="BB10" i="6"/>
  <c r="BA11" i="6"/>
  <c r="BB11" i="6"/>
  <c r="BA12" i="6"/>
  <c r="BB12" i="6"/>
  <c r="BA14" i="6"/>
  <c r="BB14" i="6"/>
  <c r="BA15" i="6"/>
  <c r="BB15" i="6"/>
  <c r="BA16" i="6"/>
  <c r="BB16" i="6"/>
  <c r="BA17" i="6"/>
  <c r="BB17" i="6"/>
  <c r="BA23" i="6"/>
  <c r="BB23" i="6"/>
  <c r="BA24" i="6"/>
  <c r="BB24" i="6"/>
  <c r="BA25" i="6"/>
  <c r="BB25" i="6"/>
  <c r="BA26" i="6"/>
  <c r="BB26" i="6"/>
  <c r="BA28" i="6"/>
  <c r="BB28" i="6"/>
  <c r="BA29" i="6"/>
  <c r="BB29" i="6"/>
  <c r="BA30" i="6"/>
  <c r="BB30" i="6"/>
  <c r="BA31" i="6"/>
  <c r="BB31" i="6"/>
  <c r="BA19" i="6"/>
  <c r="BB19" i="6"/>
  <c r="BA20" i="6"/>
  <c r="BB20" i="6"/>
  <c r="BA21" i="6"/>
  <c r="BB21" i="6"/>
  <c r="BA33" i="6"/>
  <c r="BB33" i="6"/>
  <c r="BA6" i="6"/>
  <c r="BB6" i="6"/>
  <c r="BC7" i="6"/>
  <c r="BC8" i="6"/>
  <c r="BC9" i="6"/>
  <c r="BC10" i="6"/>
  <c r="BC11" i="6"/>
  <c r="BC12" i="6"/>
  <c r="BC14" i="6"/>
  <c r="BC15" i="6"/>
  <c r="BC16" i="6"/>
  <c r="BC17" i="6"/>
  <c r="BC23" i="6"/>
  <c r="BC24" i="6"/>
  <c r="BC25" i="6"/>
  <c r="BC26" i="6"/>
  <c r="BC28" i="6"/>
  <c r="BC29" i="6"/>
  <c r="BC30" i="6"/>
  <c r="BC31" i="6"/>
  <c r="BC19" i="6"/>
  <c r="BC20" i="6"/>
  <c r="BC21" i="6"/>
  <c r="BC33" i="6"/>
  <c r="BC6" i="6"/>
  <c r="BD7" i="6"/>
  <c r="BD8" i="6"/>
  <c r="BD9" i="6"/>
  <c r="BD10" i="6"/>
  <c r="BD11" i="6"/>
  <c r="BD12" i="6"/>
  <c r="BD14" i="6"/>
  <c r="BD15" i="6"/>
  <c r="BD16" i="6"/>
  <c r="BD17" i="6"/>
  <c r="BD23" i="6"/>
  <c r="BD24" i="6"/>
  <c r="BD25" i="6"/>
  <c r="BD26" i="6"/>
  <c r="BD28" i="6"/>
  <c r="BD29" i="6"/>
  <c r="BD30" i="6"/>
  <c r="BD31" i="6"/>
  <c r="BD19" i="6"/>
  <c r="BD20" i="6"/>
  <c r="BD21" i="6"/>
  <c r="BD33" i="6"/>
  <c r="BD6" i="6"/>
  <c r="Q21" i="20"/>
  <c r="T21" i="20"/>
  <c r="Q22" i="20"/>
  <c r="T22" i="20"/>
  <c r="Q23" i="20"/>
  <c r="T23" i="20"/>
  <c r="Q24" i="20"/>
  <c r="T24" i="20"/>
  <c r="Q25" i="20"/>
  <c r="T25" i="20"/>
  <c r="Q26" i="20"/>
  <c r="T26" i="20"/>
  <c r="Q27" i="20"/>
  <c r="T27" i="20"/>
  <c r="Q28" i="20"/>
  <c r="T28" i="20"/>
  <c r="Q29" i="20"/>
  <c r="T29" i="20"/>
  <c r="Q30" i="20"/>
  <c r="T30" i="20"/>
  <c r="Q31" i="20"/>
  <c r="T31" i="20"/>
  <c r="Q32" i="20"/>
  <c r="T32" i="20"/>
  <c r="Q33" i="20"/>
  <c r="T33" i="20"/>
  <c r="Q34" i="20"/>
  <c r="T34" i="20"/>
  <c r="Q35" i="20"/>
  <c r="T35" i="20"/>
  <c r="Q36" i="20"/>
  <c r="T36" i="20"/>
  <c r="Q37" i="20"/>
  <c r="T37" i="20"/>
  <c r="Q38" i="20"/>
  <c r="T38" i="20"/>
  <c r="Q39" i="20"/>
  <c r="T39" i="20"/>
  <c r="Q40" i="20"/>
  <c r="T40" i="20"/>
  <c r="Q42" i="20"/>
  <c r="T42" i="20"/>
  <c r="Q43" i="20"/>
  <c r="T43" i="20"/>
  <c r="T20" i="20"/>
  <c r="Q20" i="20"/>
  <c r="Q8" i="20"/>
  <c r="T8" i="20"/>
  <c r="Q9" i="20"/>
  <c r="T9" i="20"/>
  <c r="Q10" i="20"/>
  <c r="T10" i="20"/>
  <c r="Q11" i="20"/>
  <c r="T11" i="20"/>
  <c r="Q12" i="20"/>
  <c r="T12" i="20"/>
  <c r="Q13" i="20"/>
  <c r="T13" i="20"/>
  <c r="Q14" i="20"/>
  <c r="T14" i="20"/>
  <c r="Q15" i="20"/>
  <c r="T15" i="20"/>
  <c r="Q16" i="20"/>
  <c r="T16" i="20"/>
  <c r="T7" i="20"/>
  <c r="Q7" i="20"/>
  <c r="P15" i="18"/>
  <c r="S15" i="18" s="1"/>
  <c r="Q15" i="18"/>
  <c r="T15" i="18" s="1"/>
  <c r="P16" i="18"/>
  <c r="Q16" i="18"/>
  <c r="P17" i="18"/>
  <c r="Q17" i="18"/>
  <c r="P18" i="18"/>
  <c r="Q18" i="18"/>
  <c r="P19" i="18"/>
  <c r="Q19" i="18"/>
  <c r="P20" i="18"/>
  <c r="Q20" i="18"/>
  <c r="Q14" i="18"/>
  <c r="T14" i="18" s="1"/>
  <c r="P14" i="18"/>
  <c r="S14" i="18" s="1"/>
  <c r="P8" i="18"/>
  <c r="S8" i="18" s="1"/>
  <c r="Q8" i="18"/>
  <c r="T8" i="18" s="1"/>
  <c r="P9" i="18"/>
  <c r="Q9" i="18"/>
  <c r="P10" i="18"/>
  <c r="Q10" i="18"/>
  <c r="Q7" i="18"/>
  <c r="T7" i="18" s="1"/>
  <c r="P7" i="18"/>
  <c r="S7" i="18" s="1"/>
  <c r="P25" i="15"/>
  <c r="V25" i="15" s="1"/>
  <c r="Q25" i="15"/>
  <c r="W25" i="15" s="1"/>
  <c r="R25" i="15"/>
  <c r="X25" i="15" s="1"/>
  <c r="S25" i="15"/>
  <c r="Y25" i="15" s="1"/>
  <c r="T25" i="15"/>
  <c r="Z25" i="15" s="1"/>
  <c r="P26" i="15"/>
  <c r="V26" i="15" s="1"/>
  <c r="Q26" i="15"/>
  <c r="W26" i="15" s="1"/>
  <c r="R26" i="15"/>
  <c r="X26" i="15" s="1"/>
  <c r="S26" i="15"/>
  <c r="Y26" i="15" s="1"/>
  <c r="T26" i="15"/>
  <c r="Z26" i="15" s="1"/>
  <c r="P27" i="15"/>
  <c r="V27" i="15" s="1"/>
  <c r="Q27" i="15"/>
  <c r="W27" i="15" s="1"/>
  <c r="R27" i="15"/>
  <c r="X27" i="15" s="1"/>
  <c r="S27" i="15"/>
  <c r="Y27" i="15" s="1"/>
  <c r="T27" i="15"/>
  <c r="Z27" i="15" s="1"/>
  <c r="P28" i="15"/>
  <c r="V28" i="15" s="1"/>
  <c r="Q28" i="15"/>
  <c r="W28" i="15" s="1"/>
  <c r="R28" i="15"/>
  <c r="X28" i="15" s="1"/>
  <c r="S28" i="15"/>
  <c r="Y28" i="15" s="1"/>
  <c r="T28" i="15"/>
  <c r="Z28" i="15" s="1"/>
  <c r="P29" i="15"/>
  <c r="V29" i="15" s="1"/>
  <c r="Q29" i="15"/>
  <c r="W29" i="15" s="1"/>
  <c r="R29" i="15"/>
  <c r="X29" i="15" s="1"/>
  <c r="S29" i="15"/>
  <c r="Y29" i="15" s="1"/>
  <c r="T29" i="15"/>
  <c r="Z29" i="15" s="1"/>
  <c r="P30" i="15"/>
  <c r="V30" i="15" s="1"/>
  <c r="Q30" i="15"/>
  <c r="W30" i="15" s="1"/>
  <c r="R30" i="15"/>
  <c r="X30" i="15" s="1"/>
  <c r="S30" i="15"/>
  <c r="Y30" i="15" s="1"/>
  <c r="T30" i="15"/>
  <c r="Z30" i="15" s="1"/>
  <c r="P31" i="15"/>
  <c r="V31" i="15" s="1"/>
  <c r="Q31" i="15"/>
  <c r="W31" i="15" s="1"/>
  <c r="R31" i="15"/>
  <c r="X31" i="15" s="1"/>
  <c r="S31" i="15"/>
  <c r="Y31" i="15" s="1"/>
  <c r="T31" i="15"/>
  <c r="Z31" i="15" s="1"/>
  <c r="P32" i="15"/>
  <c r="V32" i="15" s="1"/>
  <c r="Q32" i="15"/>
  <c r="W32" i="15" s="1"/>
  <c r="R32" i="15"/>
  <c r="X32" i="15" s="1"/>
  <c r="S32" i="15"/>
  <c r="Y32" i="15" s="1"/>
  <c r="T32" i="15"/>
  <c r="Z32" i="15" s="1"/>
  <c r="P33" i="15"/>
  <c r="V33" i="15" s="1"/>
  <c r="Q33" i="15"/>
  <c r="W33" i="15" s="1"/>
  <c r="R33" i="15"/>
  <c r="X33" i="15" s="1"/>
  <c r="S33" i="15"/>
  <c r="Y33" i="15" s="1"/>
  <c r="T33" i="15"/>
  <c r="Z33" i="15" s="1"/>
  <c r="P34" i="15"/>
  <c r="V34" i="15" s="1"/>
  <c r="Q34" i="15"/>
  <c r="W34" i="15" s="1"/>
  <c r="R34" i="15"/>
  <c r="X34" i="15" s="1"/>
  <c r="S34" i="15"/>
  <c r="Y34" i="15" s="1"/>
  <c r="T34" i="15"/>
  <c r="Z34" i="15" s="1"/>
  <c r="P35" i="15"/>
  <c r="V35" i="15" s="1"/>
  <c r="Q35" i="15"/>
  <c r="W35" i="15" s="1"/>
  <c r="R35" i="15"/>
  <c r="X35" i="15" s="1"/>
  <c r="S35" i="15"/>
  <c r="Y35" i="15" s="1"/>
  <c r="T35" i="15"/>
  <c r="Z35" i="15" s="1"/>
  <c r="P36" i="15"/>
  <c r="V36" i="15" s="1"/>
  <c r="Q36" i="15"/>
  <c r="W36" i="15" s="1"/>
  <c r="R36" i="15"/>
  <c r="X36" i="15" s="1"/>
  <c r="S36" i="15"/>
  <c r="Y36" i="15" s="1"/>
  <c r="T36" i="15"/>
  <c r="Z36" i="15" s="1"/>
  <c r="P37" i="15"/>
  <c r="V37" i="15" s="1"/>
  <c r="Q37" i="15"/>
  <c r="W37" i="15" s="1"/>
  <c r="R37" i="15"/>
  <c r="X37" i="15" s="1"/>
  <c r="S37" i="15"/>
  <c r="Y37" i="15" s="1"/>
  <c r="T37" i="15"/>
  <c r="Z37" i="15" s="1"/>
  <c r="P38" i="15"/>
  <c r="V38" i="15" s="1"/>
  <c r="Q38" i="15"/>
  <c r="W38" i="15" s="1"/>
  <c r="R38" i="15"/>
  <c r="X38" i="15" s="1"/>
  <c r="S38" i="15"/>
  <c r="Y38" i="15" s="1"/>
  <c r="T38" i="15"/>
  <c r="Z38" i="15" s="1"/>
  <c r="P39" i="15"/>
  <c r="V39" i="15" s="1"/>
  <c r="Q39" i="15"/>
  <c r="W39" i="15" s="1"/>
  <c r="R39" i="15"/>
  <c r="X39" i="15" s="1"/>
  <c r="S39" i="15"/>
  <c r="Y39" i="15" s="1"/>
  <c r="T39" i="15"/>
  <c r="Z39" i="15" s="1"/>
  <c r="P40" i="15"/>
  <c r="V40" i="15" s="1"/>
  <c r="Q40" i="15"/>
  <c r="W40" i="15" s="1"/>
  <c r="R40" i="15"/>
  <c r="X40" i="15" s="1"/>
  <c r="S40" i="15"/>
  <c r="Y40" i="15" s="1"/>
  <c r="T40" i="15"/>
  <c r="Z40" i="15" s="1"/>
  <c r="P41" i="15"/>
  <c r="V41" i="15" s="1"/>
  <c r="Q41" i="15"/>
  <c r="W41" i="15" s="1"/>
  <c r="R41" i="15"/>
  <c r="X41" i="15" s="1"/>
  <c r="S41" i="15"/>
  <c r="Y41" i="15" s="1"/>
  <c r="T41" i="15"/>
  <c r="Z41" i="15" s="1"/>
  <c r="P42" i="15"/>
  <c r="V42" i="15" s="1"/>
  <c r="Q42" i="15"/>
  <c r="W42" i="15" s="1"/>
  <c r="R42" i="15"/>
  <c r="X42" i="15" s="1"/>
  <c r="S42" i="15"/>
  <c r="Y42" i="15" s="1"/>
  <c r="T42" i="15"/>
  <c r="Z42" i="15" s="1"/>
  <c r="P43" i="15"/>
  <c r="V43" i="15" s="1"/>
  <c r="Q43" i="15"/>
  <c r="W43" i="15" s="1"/>
  <c r="R43" i="15"/>
  <c r="X43" i="15" s="1"/>
  <c r="S43" i="15"/>
  <c r="Y43" i="15" s="1"/>
  <c r="T43" i="15"/>
  <c r="Z43" i="15" s="1"/>
  <c r="P44" i="15"/>
  <c r="V44" i="15" s="1"/>
  <c r="Q44" i="15"/>
  <c r="W44" i="15" s="1"/>
  <c r="R44" i="15"/>
  <c r="X44" i="15" s="1"/>
  <c r="S44" i="15"/>
  <c r="Y44" i="15" s="1"/>
  <c r="T44" i="15"/>
  <c r="Z44" i="15" s="1"/>
  <c r="P45" i="15"/>
  <c r="V45" i="15" s="1"/>
  <c r="Q45" i="15"/>
  <c r="W45" i="15" s="1"/>
  <c r="R45" i="15"/>
  <c r="X45" i="15" s="1"/>
  <c r="S45" i="15"/>
  <c r="Y45" i="15" s="1"/>
  <c r="T45" i="15"/>
  <c r="Z45" i="15" s="1"/>
  <c r="P46" i="15"/>
  <c r="V46" i="15" s="1"/>
  <c r="Q46" i="15"/>
  <c r="W46" i="15" s="1"/>
  <c r="R46" i="15"/>
  <c r="X46" i="15" s="1"/>
  <c r="S46" i="15"/>
  <c r="Y46" i="15" s="1"/>
  <c r="T46" i="15"/>
  <c r="Z46" i="15" s="1"/>
  <c r="P47" i="15"/>
  <c r="V47" i="15" s="1"/>
  <c r="Q47" i="15"/>
  <c r="W47" i="15" s="1"/>
  <c r="R47" i="15"/>
  <c r="X47" i="15" s="1"/>
  <c r="S47" i="15"/>
  <c r="Y47" i="15" s="1"/>
  <c r="T47" i="15"/>
  <c r="Z47" i="15" s="1"/>
  <c r="P48" i="15"/>
  <c r="V48" i="15" s="1"/>
  <c r="Q48" i="15"/>
  <c r="W48" i="15" s="1"/>
  <c r="R48" i="15"/>
  <c r="X48" i="15" s="1"/>
  <c r="S48" i="15"/>
  <c r="Y48" i="15" s="1"/>
  <c r="T48" i="15"/>
  <c r="Z48" i="15" s="1"/>
  <c r="P49" i="15"/>
  <c r="V49" i="15" s="1"/>
  <c r="Q49" i="15"/>
  <c r="W49" i="15" s="1"/>
  <c r="R49" i="15"/>
  <c r="X49" i="15" s="1"/>
  <c r="S49" i="15"/>
  <c r="Y49" i="15" s="1"/>
  <c r="T49" i="15"/>
  <c r="Z49" i="15" s="1"/>
  <c r="P50" i="15"/>
  <c r="V50" i="15" s="1"/>
  <c r="Q50" i="15"/>
  <c r="W50" i="15" s="1"/>
  <c r="R50" i="15"/>
  <c r="X50" i="15" s="1"/>
  <c r="S50" i="15"/>
  <c r="Y50" i="15" s="1"/>
  <c r="T50" i="15"/>
  <c r="Z50" i="15" s="1"/>
  <c r="P51" i="15"/>
  <c r="V51" i="15" s="1"/>
  <c r="Q51" i="15"/>
  <c r="W51" i="15" s="1"/>
  <c r="R51" i="15"/>
  <c r="X51" i="15" s="1"/>
  <c r="S51" i="15"/>
  <c r="Y51" i="15" s="1"/>
  <c r="T51" i="15"/>
  <c r="Z51" i="15" s="1"/>
  <c r="P52" i="15"/>
  <c r="V52" i="15" s="1"/>
  <c r="Q52" i="15"/>
  <c r="W52" i="15" s="1"/>
  <c r="R52" i="15"/>
  <c r="X52" i="15" s="1"/>
  <c r="S52" i="15"/>
  <c r="Y52" i="15" s="1"/>
  <c r="T52" i="15"/>
  <c r="Z52" i="15" s="1"/>
  <c r="P53" i="15"/>
  <c r="V53" i="15" s="1"/>
  <c r="Q53" i="15"/>
  <c r="W53" i="15" s="1"/>
  <c r="R53" i="15"/>
  <c r="X53" i="15" s="1"/>
  <c r="S53" i="15"/>
  <c r="Y53" i="15" s="1"/>
  <c r="T53" i="15"/>
  <c r="Z53" i="15" s="1"/>
  <c r="P54" i="15"/>
  <c r="V54" i="15" s="1"/>
  <c r="Q54" i="15"/>
  <c r="W54" i="15" s="1"/>
  <c r="R54" i="15"/>
  <c r="X54" i="15" s="1"/>
  <c r="S54" i="15"/>
  <c r="Y54" i="15" s="1"/>
  <c r="T54" i="15"/>
  <c r="Z54" i="15" s="1"/>
  <c r="P55" i="15"/>
  <c r="V55" i="15" s="1"/>
  <c r="Q55" i="15"/>
  <c r="W55" i="15" s="1"/>
  <c r="R55" i="15"/>
  <c r="X55" i="15" s="1"/>
  <c r="S55" i="15"/>
  <c r="Y55" i="15" s="1"/>
  <c r="T55" i="15"/>
  <c r="Z55" i="15" s="1"/>
  <c r="P56" i="15"/>
  <c r="V56" i="15" s="1"/>
  <c r="Q56" i="15"/>
  <c r="W56" i="15" s="1"/>
  <c r="R56" i="15"/>
  <c r="X56" i="15" s="1"/>
  <c r="S56" i="15"/>
  <c r="Y56" i="15" s="1"/>
  <c r="T56" i="15"/>
  <c r="Z56" i="15" s="1"/>
  <c r="P57" i="15"/>
  <c r="V57" i="15" s="1"/>
  <c r="Q57" i="15"/>
  <c r="W57" i="15" s="1"/>
  <c r="R57" i="15"/>
  <c r="X57" i="15" s="1"/>
  <c r="S57" i="15"/>
  <c r="Y57" i="15" s="1"/>
  <c r="T57" i="15"/>
  <c r="Z57" i="15" s="1"/>
  <c r="P58" i="15"/>
  <c r="V58" i="15" s="1"/>
  <c r="Q58" i="15"/>
  <c r="W58" i="15" s="1"/>
  <c r="R58" i="15"/>
  <c r="X58" i="15" s="1"/>
  <c r="S58" i="15"/>
  <c r="Y58" i="15" s="1"/>
  <c r="T58" i="15"/>
  <c r="Z58" i="15" s="1"/>
  <c r="P59" i="15"/>
  <c r="V59" i="15" s="1"/>
  <c r="Q59" i="15"/>
  <c r="W59" i="15" s="1"/>
  <c r="R59" i="15"/>
  <c r="X59" i="15" s="1"/>
  <c r="S59" i="15"/>
  <c r="Y59" i="15" s="1"/>
  <c r="T59" i="15"/>
  <c r="Z59" i="15" s="1"/>
  <c r="P60" i="15"/>
  <c r="V60" i="15" s="1"/>
  <c r="Q60" i="15"/>
  <c r="W60" i="15" s="1"/>
  <c r="R60" i="15"/>
  <c r="X60" i="15" s="1"/>
  <c r="S60" i="15"/>
  <c r="Y60" i="15" s="1"/>
  <c r="T60" i="15"/>
  <c r="Z60" i="15" s="1"/>
  <c r="P61" i="15"/>
  <c r="V61" i="15" s="1"/>
  <c r="Q61" i="15"/>
  <c r="W61" i="15" s="1"/>
  <c r="R61" i="15"/>
  <c r="X61" i="15" s="1"/>
  <c r="S61" i="15"/>
  <c r="Y61" i="15" s="1"/>
  <c r="T61" i="15"/>
  <c r="Z61" i="15" s="1"/>
  <c r="P62" i="15"/>
  <c r="V62" i="15" s="1"/>
  <c r="Q62" i="15"/>
  <c r="W62" i="15" s="1"/>
  <c r="R62" i="15"/>
  <c r="X62" i="15" s="1"/>
  <c r="S62" i="15"/>
  <c r="Y62" i="15" s="1"/>
  <c r="T62" i="15"/>
  <c r="Z62" i="15" s="1"/>
  <c r="P63" i="15"/>
  <c r="V63" i="15" s="1"/>
  <c r="Q63" i="15"/>
  <c r="W63" i="15" s="1"/>
  <c r="R63" i="15"/>
  <c r="X63" i="15" s="1"/>
  <c r="S63" i="15"/>
  <c r="Y63" i="15" s="1"/>
  <c r="T63" i="15"/>
  <c r="Z63" i="15" s="1"/>
  <c r="P64" i="15"/>
  <c r="V64" i="15" s="1"/>
  <c r="Q64" i="15"/>
  <c r="W64" i="15" s="1"/>
  <c r="R64" i="15"/>
  <c r="X64" i="15" s="1"/>
  <c r="S64" i="15"/>
  <c r="Y64" i="15" s="1"/>
  <c r="T64" i="15"/>
  <c r="Z64" i="15" s="1"/>
  <c r="P65" i="15"/>
  <c r="V65" i="15" s="1"/>
  <c r="Q65" i="15"/>
  <c r="W65" i="15" s="1"/>
  <c r="R65" i="15"/>
  <c r="X65" i="15" s="1"/>
  <c r="S65" i="15"/>
  <c r="Y65" i="15" s="1"/>
  <c r="T65" i="15"/>
  <c r="Z65" i="15" s="1"/>
  <c r="P66" i="15"/>
  <c r="V66" i="15" s="1"/>
  <c r="Q66" i="15"/>
  <c r="W66" i="15" s="1"/>
  <c r="R66" i="15"/>
  <c r="X66" i="15" s="1"/>
  <c r="S66" i="15"/>
  <c r="Y66" i="15" s="1"/>
  <c r="T66" i="15"/>
  <c r="Z66" i="15" s="1"/>
  <c r="P67" i="15"/>
  <c r="V67" i="15" s="1"/>
  <c r="Q67" i="15"/>
  <c r="W67" i="15" s="1"/>
  <c r="R67" i="15"/>
  <c r="X67" i="15" s="1"/>
  <c r="S67" i="15"/>
  <c r="Y67" i="15" s="1"/>
  <c r="T67" i="15"/>
  <c r="Z67" i="15" s="1"/>
  <c r="P68" i="15"/>
  <c r="V68" i="15" s="1"/>
  <c r="Q68" i="15"/>
  <c r="W68" i="15" s="1"/>
  <c r="R68" i="15"/>
  <c r="X68" i="15" s="1"/>
  <c r="S68" i="15"/>
  <c r="Y68" i="15" s="1"/>
  <c r="T68" i="15"/>
  <c r="Z68" i="15" s="1"/>
  <c r="P69" i="15"/>
  <c r="V69" i="15" s="1"/>
  <c r="Q69" i="15"/>
  <c r="W69" i="15" s="1"/>
  <c r="R69" i="15"/>
  <c r="X69" i="15" s="1"/>
  <c r="S69" i="15"/>
  <c r="Y69" i="15" s="1"/>
  <c r="T69" i="15"/>
  <c r="Z69" i="15" s="1"/>
  <c r="P70" i="15"/>
  <c r="V70" i="15" s="1"/>
  <c r="Q70" i="15"/>
  <c r="W70" i="15" s="1"/>
  <c r="R70" i="15"/>
  <c r="X70" i="15" s="1"/>
  <c r="S70" i="15"/>
  <c r="Y70" i="15" s="1"/>
  <c r="T70" i="15"/>
  <c r="Z70" i="15" s="1"/>
  <c r="P71" i="15"/>
  <c r="V71" i="15" s="1"/>
  <c r="Q71" i="15"/>
  <c r="W71" i="15" s="1"/>
  <c r="R71" i="15"/>
  <c r="X71" i="15" s="1"/>
  <c r="S71" i="15"/>
  <c r="Y71" i="15" s="1"/>
  <c r="T71" i="15"/>
  <c r="Z71" i="15" s="1"/>
  <c r="P72" i="15"/>
  <c r="V72" i="15" s="1"/>
  <c r="Q72" i="15"/>
  <c r="W72" i="15" s="1"/>
  <c r="R72" i="15"/>
  <c r="X72" i="15" s="1"/>
  <c r="S72" i="15"/>
  <c r="Y72" i="15" s="1"/>
  <c r="T72" i="15"/>
  <c r="Z72" i="15" s="1"/>
  <c r="P73" i="15"/>
  <c r="V73" i="15" s="1"/>
  <c r="Q73" i="15"/>
  <c r="W73" i="15" s="1"/>
  <c r="R73" i="15"/>
  <c r="X73" i="15" s="1"/>
  <c r="S73" i="15"/>
  <c r="Y73" i="15" s="1"/>
  <c r="T73" i="15"/>
  <c r="Z73" i="15" s="1"/>
  <c r="P74" i="15"/>
  <c r="V74" i="15" s="1"/>
  <c r="Q74" i="15"/>
  <c r="W74" i="15" s="1"/>
  <c r="R74" i="15"/>
  <c r="X74" i="15" s="1"/>
  <c r="S74" i="15"/>
  <c r="Y74" i="15" s="1"/>
  <c r="T74" i="15"/>
  <c r="Z74" i="15" s="1"/>
  <c r="P75" i="15"/>
  <c r="V75" i="15" s="1"/>
  <c r="Q75" i="15"/>
  <c r="W75" i="15" s="1"/>
  <c r="R75" i="15"/>
  <c r="X75" i="15" s="1"/>
  <c r="S75" i="15"/>
  <c r="Y75" i="15" s="1"/>
  <c r="T75" i="15"/>
  <c r="Z75" i="15" s="1"/>
  <c r="P76" i="15"/>
  <c r="V76" i="15" s="1"/>
  <c r="Q76" i="15"/>
  <c r="W76" i="15" s="1"/>
  <c r="R76" i="15"/>
  <c r="X76" i="15" s="1"/>
  <c r="S76" i="15"/>
  <c r="Y76" i="15" s="1"/>
  <c r="T76" i="15"/>
  <c r="Z76" i="15" s="1"/>
  <c r="P77" i="15"/>
  <c r="V77" i="15" s="1"/>
  <c r="Q77" i="15"/>
  <c r="W77" i="15" s="1"/>
  <c r="R77" i="15"/>
  <c r="X77" i="15" s="1"/>
  <c r="S77" i="15"/>
  <c r="Y77" i="15" s="1"/>
  <c r="T77" i="15"/>
  <c r="Z77" i="15" s="1"/>
  <c r="P78" i="15"/>
  <c r="V78" i="15" s="1"/>
  <c r="Q78" i="15"/>
  <c r="W78" i="15" s="1"/>
  <c r="R78" i="15"/>
  <c r="X78" i="15" s="1"/>
  <c r="S78" i="15"/>
  <c r="Y78" i="15" s="1"/>
  <c r="T78" i="15"/>
  <c r="Z78" i="15" s="1"/>
  <c r="P79" i="15"/>
  <c r="V79" i="15" s="1"/>
  <c r="Q79" i="15"/>
  <c r="W79" i="15" s="1"/>
  <c r="R79" i="15"/>
  <c r="X79" i="15" s="1"/>
  <c r="S79" i="15"/>
  <c r="Y79" i="15" s="1"/>
  <c r="T79" i="15"/>
  <c r="Z79" i="15" s="1"/>
  <c r="P80" i="15"/>
  <c r="V80" i="15" s="1"/>
  <c r="Q80" i="15"/>
  <c r="W80" i="15" s="1"/>
  <c r="R80" i="15"/>
  <c r="X80" i="15" s="1"/>
  <c r="S80" i="15"/>
  <c r="Y80" i="15" s="1"/>
  <c r="T80" i="15"/>
  <c r="Z80" i="15" s="1"/>
  <c r="P81" i="15"/>
  <c r="V81" i="15" s="1"/>
  <c r="Q81" i="15"/>
  <c r="W81" i="15" s="1"/>
  <c r="R81" i="15"/>
  <c r="X81" i="15" s="1"/>
  <c r="S81" i="15"/>
  <c r="Y81" i="15" s="1"/>
  <c r="T81" i="15"/>
  <c r="Z81" i="15" s="1"/>
  <c r="P82" i="15"/>
  <c r="V82" i="15" s="1"/>
  <c r="Q82" i="15"/>
  <c r="W82" i="15" s="1"/>
  <c r="R82" i="15"/>
  <c r="X82" i="15" s="1"/>
  <c r="S82" i="15"/>
  <c r="Y82" i="15" s="1"/>
  <c r="T82" i="15"/>
  <c r="Z82" i="15" s="1"/>
  <c r="P83" i="15"/>
  <c r="V83" i="15" s="1"/>
  <c r="Q83" i="15"/>
  <c r="W83" i="15" s="1"/>
  <c r="R83" i="15"/>
  <c r="X83" i="15" s="1"/>
  <c r="S83" i="15"/>
  <c r="Y83" i="15" s="1"/>
  <c r="T83" i="15"/>
  <c r="Z83" i="15" s="1"/>
  <c r="P84" i="15"/>
  <c r="V84" i="15" s="1"/>
  <c r="Q84" i="15"/>
  <c r="W84" i="15" s="1"/>
  <c r="R84" i="15"/>
  <c r="X84" i="15" s="1"/>
  <c r="S84" i="15"/>
  <c r="Y84" i="15" s="1"/>
  <c r="T84" i="15"/>
  <c r="Z84" i="15" s="1"/>
  <c r="Q85" i="15"/>
  <c r="W85" i="15" s="1"/>
  <c r="R85" i="15"/>
  <c r="X85" i="15" s="1"/>
  <c r="S85" i="15"/>
  <c r="Y85" i="15" s="1"/>
  <c r="T85" i="15"/>
  <c r="Z85" i="15" s="1"/>
  <c r="P86" i="15"/>
  <c r="V86" i="15" s="1"/>
  <c r="Q86" i="15"/>
  <c r="W86" i="15" s="1"/>
  <c r="R86" i="15"/>
  <c r="X86" i="15" s="1"/>
  <c r="S86" i="15"/>
  <c r="Y86" i="15" s="1"/>
  <c r="T86" i="15"/>
  <c r="Z86" i="15" s="1"/>
  <c r="P87" i="15"/>
  <c r="V87" i="15" s="1"/>
  <c r="Q87" i="15"/>
  <c r="W87" i="15" s="1"/>
  <c r="R87" i="15"/>
  <c r="X87" i="15" s="1"/>
  <c r="S87" i="15"/>
  <c r="Y87" i="15" s="1"/>
  <c r="T87" i="15"/>
  <c r="Z87" i="15" s="1"/>
  <c r="P88" i="15"/>
  <c r="V88" i="15" s="1"/>
  <c r="Q88" i="15"/>
  <c r="W88" i="15" s="1"/>
  <c r="R88" i="15"/>
  <c r="X88" i="15" s="1"/>
  <c r="S88" i="15"/>
  <c r="Y88" i="15" s="1"/>
  <c r="T88" i="15"/>
  <c r="Z88" i="15" s="1"/>
  <c r="P89" i="15"/>
  <c r="V89" i="15" s="1"/>
  <c r="Q89" i="15"/>
  <c r="W89" i="15" s="1"/>
  <c r="R89" i="15"/>
  <c r="X89" i="15" s="1"/>
  <c r="S89" i="15"/>
  <c r="Y89" i="15" s="1"/>
  <c r="T89" i="15"/>
  <c r="Z89" i="15" s="1"/>
  <c r="P90" i="15"/>
  <c r="V90" i="15" s="1"/>
  <c r="Q90" i="15"/>
  <c r="W90" i="15" s="1"/>
  <c r="R90" i="15"/>
  <c r="X90" i="15" s="1"/>
  <c r="S90" i="15"/>
  <c r="Y90" i="15" s="1"/>
  <c r="T90" i="15"/>
  <c r="Z90" i="15" s="1"/>
  <c r="P91" i="15"/>
  <c r="V91" i="15" s="1"/>
  <c r="Q91" i="15"/>
  <c r="W91" i="15" s="1"/>
  <c r="R91" i="15"/>
  <c r="X91" i="15" s="1"/>
  <c r="S91" i="15"/>
  <c r="Y91" i="15" s="1"/>
  <c r="T91" i="15"/>
  <c r="Z91" i="15" s="1"/>
  <c r="P92" i="15"/>
  <c r="V92" i="15" s="1"/>
  <c r="Q92" i="15"/>
  <c r="W92" i="15" s="1"/>
  <c r="R92" i="15"/>
  <c r="X92" i="15" s="1"/>
  <c r="S92" i="15"/>
  <c r="Y92" i="15" s="1"/>
  <c r="T92" i="15"/>
  <c r="Z92" i="15" s="1"/>
  <c r="P93" i="15"/>
  <c r="V93" i="15" s="1"/>
  <c r="Q93" i="15"/>
  <c r="W93" i="15" s="1"/>
  <c r="R93" i="15"/>
  <c r="X93" i="15" s="1"/>
  <c r="S93" i="15"/>
  <c r="Y93" i="15" s="1"/>
  <c r="T93" i="15"/>
  <c r="Z93" i="15" s="1"/>
  <c r="P94" i="15"/>
  <c r="V94" i="15" s="1"/>
  <c r="Q94" i="15"/>
  <c r="W94" i="15" s="1"/>
  <c r="R94" i="15"/>
  <c r="X94" i="15" s="1"/>
  <c r="S94" i="15"/>
  <c r="Y94" i="15" s="1"/>
  <c r="T94" i="15"/>
  <c r="Z94" i="15" s="1"/>
  <c r="P95" i="15"/>
  <c r="V95" i="15" s="1"/>
  <c r="Q95" i="15"/>
  <c r="W95" i="15" s="1"/>
  <c r="R95" i="15"/>
  <c r="X95" i="15" s="1"/>
  <c r="S95" i="15"/>
  <c r="Y95" i="15" s="1"/>
  <c r="T95" i="15"/>
  <c r="Z95" i="15" s="1"/>
  <c r="T24" i="15"/>
  <c r="S24" i="15"/>
  <c r="R24" i="15"/>
  <c r="Q24" i="15"/>
  <c r="P24" i="15"/>
  <c r="P8" i="15"/>
  <c r="Q8" i="15"/>
  <c r="R8" i="15"/>
  <c r="S8" i="15"/>
  <c r="T8" i="15"/>
  <c r="P9" i="15"/>
  <c r="Q9" i="15"/>
  <c r="R9" i="15"/>
  <c r="S9" i="15"/>
  <c r="T9" i="15"/>
  <c r="P10" i="15"/>
  <c r="Q10" i="15"/>
  <c r="R10" i="15"/>
  <c r="S10" i="15"/>
  <c r="T10" i="15"/>
  <c r="P11" i="15"/>
  <c r="Q11" i="15"/>
  <c r="R11" i="15"/>
  <c r="S11" i="15"/>
  <c r="T11" i="15"/>
  <c r="P12" i="15"/>
  <c r="Q12" i="15"/>
  <c r="R12" i="15"/>
  <c r="S12" i="15"/>
  <c r="T12" i="15"/>
  <c r="P13" i="15"/>
  <c r="Q13" i="15"/>
  <c r="R13" i="15"/>
  <c r="S13" i="15"/>
  <c r="T13" i="15"/>
  <c r="P14" i="15"/>
  <c r="Q14" i="15"/>
  <c r="R14" i="15"/>
  <c r="S14" i="15"/>
  <c r="T14" i="15"/>
  <c r="P15" i="15"/>
  <c r="Q15" i="15"/>
  <c r="R15" i="15"/>
  <c r="S15" i="15"/>
  <c r="T15" i="15"/>
  <c r="P16" i="15"/>
  <c r="Q16" i="15"/>
  <c r="R16" i="15"/>
  <c r="S16" i="15"/>
  <c r="T16" i="15"/>
  <c r="P17" i="15"/>
  <c r="Q17" i="15"/>
  <c r="R17" i="15"/>
  <c r="S17" i="15"/>
  <c r="T17" i="15"/>
  <c r="P18" i="15"/>
  <c r="Q18" i="15"/>
  <c r="R18" i="15"/>
  <c r="S18" i="15"/>
  <c r="T18" i="15"/>
  <c r="P19" i="15"/>
  <c r="Q19" i="15"/>
  <c r="R19" i="15"/>
  <c r="S19" i="15"/>
  <c r="T19" i="15"/>
  <c r="P20" i="15"/>
  <c r="Q20" i="15"/>
  <c r="R20" i="15"/>
  <c r="S20" i="15"/>
  <c r="T20" i="15"/>
  <c r="Q7" i="15"/>
  <c r="R7" i="15"/>
  <c r="S7" i="15"/>
  <c r="T7" i="15"/>
  <c r="P7" i="15"/>
  <c r="Q24" i="12"/>
  <c r="R24" i="12"/>
  <c r="T24" i="12"/>
  <c r="Q25" i="12"/>
  <c r="R25" i="12"/>
  <c r="T25" i="12"/>
  <c r="Q26" i="12"/>
  <c r="R26" i="12"/>
  <c r="T26" i="12"/>
  <c r="Q27" i="12"/>
  <c r="R27" i="12"/>
  <c r="T27" i="12"/>
  <c r="Q28" i="12"/>
  <c r="R28" i="12"/>
  <c r="T28" i="12"/>
  <c r="Q29" i="12"/>
  <c r="R29" i="12"/>
  <c r="T29" i="12"/>
  <c r="Q30" i="12"/>
  <c r="R30" i="12"/>
  <c r="T30" i="12"/>
  <c r="Q32" i="12"/>
  <c r="R32" i="12"/>
  <c r="T32" i="12"/>
  <c r="Q33" i="12"/>
  <c r="R33" i="12"/>
  <c r="T33" i="12"/>
  <c r="Q34" i="12"/>
  <c r="R34" i="12"/>
  <c r="T34" i="12"/>
  <c r="Q35" i="12"/>
  <c r="R35" i="12"/>
  <c r="T35" i="12"/>
  <c r="Q36" i="12"/>
  <c r="R36" i="12"/>
  <c r="T36" i="12"/>
  <c r="Q37" i="12"/>
  <c r="R37" i="12"/>
  <c r="T37" i="12"/>
  <c r="Q38" i="12"/>
  <c r="R38" i="12"/>
  <c r="T38" i="12"/>
  <c r="Q39" i="12"/>
  <c r="R39" i="12"/>
  <c r="T39" i="12"/>
  <c r="Q40" i="12"/>
  <c r="R40" i="12"/>
  <c r="T40" i="12"/>
  <c r="Q41" i="12"/>
  <c r="R41" i="12"/>
  <c r="T41" i="12"/>
  <c r="Q42" i="12"/>
  <c r="R42" i="12"/>
  <c r="T42" i="12"/>
  <c r="Q43" i="12"/>
  <c r="R43" i="12"/>
  <c r="T43" i="12"/>
  <c r="Q44" i="12"/>
  <c r="R44" i="12"/>
  <c r="T44" i="12"/>
  <c r="Q45" i="12"/>
  <c r="R45" i="12"/>
  <c r="T45" i="12"/>
  <c r="Q46" i="12"/>
  <c r="R46" i="12"/>
  <c r="T46" i="12"/>
  <c r="Q47" i="12"/>
  <c r="R47" i="12"/>
  <c r="T47" i="12"/>
  <c r="Q48" i="12"/>
  <c r="R48" i="12"/>
  <c r="T48" i="12"/>
  <c r="Q49" i="12"/>
  <c r="R49" i="12"/>
  <c r="T49" i="12"/>
  <c r="Q50" i="12"/>
  <c r="R50" i="12"/>
  <c r="T50" i="12"/>
  <c r="Q51" i="12"/>
  <c r="R51" i="12"/>
  <c r="T51" i="12"/>
  <c r="Q52" i="12"/>
  <c r="R52" i="12"/>
  <c r="T52" i="12"/>
  <c r="Q53" i="12"/>
  <c r="R53" i="12"/>
  <c r="T53" i="12"/>
  <c r="Q54" i="12"/>
  <c r="R54" i="12"/>
  <c r="T54" i="12"/>
  <c r="Q55" i="12"/>
  <c r="R55" i="12"/>
  <c r="T55" i="12"/>
  <c r="Q56" i="12"/>
  <c r="R56" i="12"/>
  <c r="T56" i="12"/>
  <c r="Q57" i="12"/>
  <c r="R57" i="12"/>
  <c r="T57" i="12"/>
  <c r="Q58" i="12"/>
  <c r="R58" i="12"/>
  <c r="T58" i="12"/>
  <c r="Q60" i="12"/>
  <c r="R60" i="12"/>
  <c r="T60" i="12"/>
  <c r="Q61" i="12"/>
  <c r="R61" i="12"/>
  <c r="T61" i="12"/>
  <c r="Q62" i="12"/>
  <c r="R62" i="12"/>
  <c r="T62" i="12"/>
  <c r="Q63" i="12"/>
  <c r="R63" i="12"/>
  <c r="T63" i="12"/>
  <c r="Q64" i="12"/>
  <c r="R64" i="12"/>
  <c r="T64" i="12"/>
  <c r="Q65" i="12"/>
  <c r="R65" i="12"/>
  <c r="T65" i="12"/>
  <c r="Q66" i="12"/>
  <c r="R66" i="12"/>
  <c r="T66" i="12"/>
  <c r="Q67" i="12"/>
  <c r="R67" i="12"/>
  <c r="T67" i="12"/>
  <c r="Q68" i="12"/>
  <c r="R68" i="12"/>
  <c r="T68" i="12"/>
  <c r="Q69" i="12"/>
  <c r="R69" i="12"/>
  <c r="T69" i="12"/>
  <c r="Q70" i="12"/>
  <c r="R70" i="12"/>
  <c r="T70" i="12"/>
  <c r="Q71" i="12"/>
  <c r="R71" i="12"/>
  <c r="T71" i="12"/>
  <c r="Q72" i="12"/>
  <c r="R72" i="12"/>
  <c r="T72" i="12"/>
  <c r="Q73" i="12"/>
  <c r="R73" i="12"/>
  <c r="T73" i="12"/>
  <c r="Q74" i="12"/>
  <c r="R74" i="12"/>
  <c r="T74" i="12"/>
  <c r="Q75" i="12"/>
  <c r="R75" i="12"/>
  <c r="T75" i="12"/>
  <c r="Q76" i="12"/>
  <c r="R76" i="12"/>
  <c r="T76" i="12"/>
  <c r="Q77" i="12"/>
  <c r="R77" i="12"/>
  <c r="T77" i="12"/>
  <c r="Q78" i="12"/>
  <c r="R78" i="12"/>
  <c r="T78" i="12"/>
  <c r="Q79" i="12"/>
  <c r="R79" i="12"/>
  <c r="T79" i="12"/>
  <c r="Q80" i="12"/>
  <c r="R80" i="12"/>
  <c r="T80" i="12"/>
  <c r="Q81" i="12"/>
  <c r="R81" i="12"/>
  <c r="T81" i="12"/>
  <c r="Q82" i="12"/>
  <c r="R82" i="12"/>
  <c r="T82" i="12"/>
  <c r="Q83" i="12"/>
  <c r="R83" i="12"/>
  <c r="T83" i="12"/>
  <c r="T23" i="12"/>
  <c r="R23" i="12"/>
  <c r="Q23" i="12"/>
  <c r="Q8" i="12"/>
  <c r="R8" i="12"/>
  <c r="T8" i="12"/>
  <c r="Z8" i="12" s="1"/>
  <c r="Q9" i="12"/>
  <c r="R9" i="12"/>
  <c r="T9" i="12"/>
  <c r="Q10" i="12"/>
  <c r="R10" i="12"/>
  <c r="T10" i="12"/>
  <c r="Q11" i="12"/>
  <c r="R11" i="12"/>
  <c r="T11" i="12"/>
  <c r="Q12" i="12"/>
  <c r="R12" i="12"/>
  <c r="T12" i="12"/>
  <c r="Q13" i="12"/>
  <c r="R13" i="12"/>
  <c r="T13" i="12"/>
  <c r="Q14" i="12"/>
  <c r="R14" i="12"/>
  <c r="T14" i="12"/>
  <c r="Q15" i="12"/>
  <c r="R15" i="12"/>
  <c r="T15" i="12"/>
  <c r="Q17" i="12"/>
  <c r="R17" i="12"/>
  <c r="T17" i="12"/>
  <c r="Q18" i="12"/>
  <c r="R18" i="12"/>
  <c r="T18" i="12"/>
  <c r="Q19" i="12"/>
  <c r="R19" i="12"/>
  <c r="T19" i="12"/>
  <c r="R7" i="12"/>
  <c r="T7" i="12"/>
  <c r="P16" i="11"/>
  <c r="Q16" i="11"/>
  <c r="P17" i="11"/>
  <c r="Q17" i="11"/>
  <c r="P18" i="11"/>
  <c r="Q18" i="11"/>
  <c r="P19" i="11"/>
  <c r="Q19" i="11"/>
  <c r="P20" i="11"/>
  <c r="Q20" i="11"/>
  <c r="P21" i="11"/>
  <c r="Q21" i="11"/>
  <c r="P22" i="11"/>
  <c r="Q22" i="11"/>
  <c r="P23" i="11"/>
  <c r="Q23" i="11"/>
  <c r="P24" i="11"/>
  <c r="Q24" i="11"/>
  <c r="P25" i="11"/>
  <c r="Q25" i="11"/>
  <c r="P26" i="11"/>
  <c r="Q26" i="11"/>
  <c r="P27" i="11"/>
  <c r="Q27" i="11"/>
  <c r="P28" i="11"/>
  <c r="Q28" i="11"/>
  <c r="P29" i="11"/>
  <c r="Q29" i="11"/>
  <c r="P30" i="11"/>
  <c r="Q30" i="11"/>
  <c r="Q15" i="11"/>
  <c r="P15" i="11"/>
  <c r="P8" i="11"/>
  <c r="Q8" i="11"/>
  <c r="T8" i="11" s="1"/>
  <c r="P9" i="11"/>
  <c r="Q9" i="11"/>
  <c r="P11" i="11"/>
  <c r="Q11" i="11"/>
  <c r="Q7" i="11"/>
  <c r="P7" i="11"/>
  <c r="Q22" i="4"/>
  <c r="W22" i="4" s="1"/>
  <c r="R22" i="4"/>
  <c r="T22" i="4"/>
  <c r="Z22" i="4" s="1"/>
  <c r="Q23" i="4"/>
  <c r="W23" i="4" s="1"/>
  <c r="R23" i="4"/>
  <c r="T23" i="4"/>
  <c r="Z23" i="4" s="1"/>
  <c r="Q24" i="4"/>
  <c r="W24" i="4" s="1"/>
  <c r="R24" i="4"/>
  <c r="T24" i="4"/>
  <c r="Z24" i="4" s="1"/>
  <c r="Q25" i="4"/>
  <c r="W25" i="4" s="1"/>
  <c r="R25" i="4"/>
  <c r="T25" i="4"/>
  <c r="Z25" i="4" s="1"/>
  <c r="Q26" i="4"/>
  <c r="W26" i="4" s="1"/>
  <c r="R26" i="4"/>
  <c r="T26" i="4"/>
  <c r="Z26" i="4" s="1"/>
  <c r="Q27" i="4"/>
  <c r="W27" i="4" s="1"/>
  <c r="R27" i="4"/>
  <c r="T27" i="4"/>
  <c r="Z27" i="4" s="1"/>
  <c r="Q28" i="4"/>
  <c r="W28" i="4" s="1"/>
  <c r="R28" i="4"/>
  <c r="T28" i="4"/>
  <c r="Z28" i="4" s="1"/>
  <c r="Q29" i="4"/>
  <c r="W29" i="4" s="1"/>
  <c r="R29" i="4"/>
  <c r="T29" i="4"/>
  <c r="Z29" i="4" s="1"/>
  <c r="Q30" i="4"/>
  <c r="W30" i="4" s="1"/>
  <c r="R30" i="4"/>
  <c r="T30" i="4"/>
  <c r="Z30" i="4" s="1"/>
  <c r="Q31" i="4"/>
  <c r="W31" i="4" s="1"/>
  <c r="R31" i="4"/>
  <c r="T31" i="4"/>
  <c r="Z31" i="4" s="1"/>
  <c r="Q32" i="4"/>
  <c r="W32" i="4" s="1"/>
  <c r="R32" i="4"/>
  <c r="T32" i="4"/>
  <c r="Z32" i="4" s="1"/>
  <c r="Q33" i="4"/>
  <c r="W33" i="4" s="1"/>
  <c r="R33" i="4"/>
  <c r="T33" i="4"/>
  <c r="Z33" i="4" s="1"/>
  <c r="Q34" i="4"/>
  <c r="W34" i="4" s="1"/>
  <c r="R34" i="4"/>
  <c r="T34" i="4"/>
  <c r="Z34" i="4" s="1"/>
  <c r="Q35" i="4"/>
  <c r="W35" i="4" s="1"/>
  <c r="R35" i="4"/>
  <c r="T35" i="4"/>
  <c r="Z35" i="4" s="1"/>
  <c r="Q36" i="4"/>
  <c r="W36" i="4" s="1"/>
  <c r="R36" i="4"/>
  <c r="T36" i="4"/>
  <c r="Z36" i="4" s="1"/>
  <c r="Q37" i="4"/>
  <c r="W37" i="4" s="1"/>
  <c r="R37" i="4"/>
  <c r="T37" i="4"/>
  <c r="Z37" i="4" s="1"/>
  <c r="Q38" i="4"/>
  <c r="W38" i="4" s="1"/>
  <c r="R38" i="4"/>
  <c r="T38" i="4"/>
  <c r="Z38" i="4" s="1"/>
  <c r="Q39" i="4"/>
  <c r="W39" i="4" s="1"/>
  <c r="R39" i="4"/>
  <c r="T39" i="4"/>
  <c r="Z39" i="4" s="1"/>
  <c r="Q40" i="4"/>
  <c r="W40" i="4" s="1"/>
  <c r="R40" i="4"/>
  <c r="T40" i="4"/>
  <c r="Z40" i="4" s="1"/>
  <c r="Q41" i="4"/>
  <c r="W41" i="4" s="1"/>
  <c r="R41" i="4"/>
  <c r="T41" i="4"/>
  <c r="Z41" i="4" s="1"/>
  <c r="Q42" i="4"/>
  <c r="W42" i="4" s="1"/>
  <c r="R42" i="4"/>
  <c r="T42" i="4"/>
  <c r="Z42" i="4" s="1"/>
  <c r="Q43" i="4"/>
  <c r="W43" i="4" s="1"/>
  <c r="R43" i="4"/>
  <c r="T43" i="4"/>
  <c r="Z43" i="4" s="1"/>
  <c r="Q44" i="4"/>
  <c r="W44" i="4" s="1"/>
  <c r="R44" i="4"/>
  <c r="T44" i="4"/>
  <c r="Z44" i="4" s="1"/>
  <c r="Q45" i="4"/>
  <c r="W45" i="4" s="1"/>
  <c r="R45" i="4"/>
  <c r="T45" i="4"/>
  <c r="Z45" i="4" s="1"/>
  <c r="Q46" i="4"/>
  <c r="W46" i="4" s="1"/>
  <c r="R46" i="4"/>
  <c r="T46" i="4"/>
  <c r="Z46" i="4" s="1"/>
  <c r="Q47" i="4"/>
  <c r="W47" i="4" s="1"/>
  <c r="R47" i="4"/>
  <c r="T47" i="4"/>
  <c r="Z47" i="4" s="1"/>
  <c r="Q48" i="4"/>
  <c r="W48" i="4" s="1"/>
  <c r="R48" i="4"/>
  <c r="T48" i="4"/>
  <c r="Z48" i="4" s="1"/>
  <c r="Q49" i="4"/>
  <c r="W49" i="4" s="1"/>
  <c r="R49" i="4"/>
  <c r="T49" i="4"/>
  <c r="Z49" i="4" s="1"/>
  <c r="Q50" i="4"/>
  <c r="W50" i="4" s="1"/>
  <c r="R50" i="4"/>
  <c r="T50" i="4"/>
  <c r="Z50" i="4" s="1"/>
  <c r="T21" i="4"/>
  <c r="Z21" i="4" s="1"/>
  <c r="R21" i="4"/>
  <c r="Q21" i="4"/>
  <c r="W21" i="4" s="1"/>
  <c r="Q8" i="4"/>
  <c r="W8" i="4" s="1"/>
  <c r="R8" i="4"/>
  <c r="T8" i="4"/>
  <c r="Z8" i="4" s="1"/>
  <c r="Q9" i="4"/>
  <c r="W9" i="4" s="1"/>
  <c r="R9" i="4"/>
  <c r="T9" i="4"/>
  <c r="Z9" i="4" s="1"/>
  <c r="Q10" i="4"/>
  <c r="W10" i="4" s="1"/>
  <c r="R10" i="4"/>
  <c r="T10" i="4"/>
  <c r="Z10" i="4" s="1"/>
  <c r="Q11" i="4"/>
  <c r="W11" i="4" s="1"/>
  <c r="R11" i="4"/>
  <c r="T11" i="4"/>
  <c r="Z11" i="4" s="1"/>
  <c r="Q12" i="4"/>
  <c r="W12" i="4" s="1"/>
  <c r="R12" i="4"/>
  <c r="T12" i="4"/>
  <c r="Z12" i="4" s="1"/>
  <c r="Q13" i="4"/>
  <c r="W13" i="4" s="1"/>
  <c r="R13" i="4"/>
  <c r="T13" i="4"/>
  <c r="Z13" i="4" s="1"/>
  <c r="Q14" i="4"/>
  <c r="W14" i="4" s="1"/>
  <c r="R14" i="4"/>
  <c r="T14" i="4"/>
  <c r="Z14" i="4" s="1"/>
  <c r="Q16" i="4"/>
  <c r="W16" i="4" s="1"/>
  <c r="R16" i="4"/>
  <c r="T16" i="4"/>
  <c r="Z16" i="4" s="1"/>
  <c r="Q17" i="4"/>
  <c r="W17" i="4" s="1"/>
  <c r="R17" i="4"/>
  <c r="T17" i="4"/>
  <c r="Z17" i="4" s="1"/>
  <c r="T7" i="4"/>
  <c r="Z7" i="4" s="1"/>
  <c r="R7" i="4"/>
  <c r="Q7" i="4"/>
  <c r="W7" i="4" s="1"/>
  <c r="P24" i="2"/>
  <c r="Q24" i="2"/>
  <c r="S24" i="2"/>
  <c r="T24" i="2"/>
  <c r="P25" i="2"/>
  <c r="Q25" i="2"/>
  <c r="S25" i="2"/>
  <c r="T25" i="2"/>
  <c r="P26" i="2"/>
  <c r="Q26" i="2"/>
  <c r="S26" i="2"/>
  <c r="T26" i="2"/>
  <c r="P27" i="2"/>
  <c r="Q27" i="2"/>
  <c r="S27" i="2"/>
  <c r="T27" i="2"/>
  <c r="P28" i="2"/>
  <c r="Q28" i="2"/>
  <c r="S28" i="2"/>
  <c r="T28" i="2"/>
  <c r="P29" i="2"/>
  <c r="Q29" i="2"/>
  <c r="S29" i="2"/>
  <c r="T29" i="2"/>
  <c r="P30" i="2"/>
  <c r="Q30" i="2"/>
  <c r="S30" i="2"/>
  <c r="T30" i="2"/>
  <c r="P31" i="2"/>
  <c r="Q31" i="2"/>
  <c r="S31" i="2"/>
  <c r="T31" i="2"/>
  <c r="P32" i="2"/>
  <c r="Q32" i="2"/>
  <c r="S32" i="2"/>
  <c r="T32" i="2"/>
  <c r="P33" i="2"/>
  <c r="Q33" i="2"/>
  <c r="S33" i="2"/>
  <c r="T33" i="2"/>
  <c r="P34" i="2"/>
  <c r="Q34" i="2"/>
  <c r="S34" i="2"/>
  <c r="T34" i="2"/>
  <c r="P35" i="2"/>
  <c r="Q35" i="2"/>
  <c r="S35" i="2"/>
  <c r="T35" i="2"/>
  <c r="P36" i="2"/>
  <c r="Q36" i="2"/>
  <c r="S36" i="2"/>
  <c r="T36" i="2"/>
  <c r="P37" i="2"/>
  <c r="Q37" i="2"/>
  <c r="S37" i="2"/>
  <c r="T37" i="2"/>
  <c r="P38" i="2"/>
  <c r="Q38" i="2"/>
  <c r="S38" i="2"/>
  <c r="T38" i="2"/>
  <c r="P39" i="2"/>
  <c r="Q39" i="2"/>
  <c r="S39" i="2"/>
  <c r="T39" i="2"/>
  <c r="P40" i="2"/>
  <c r="Q40" i="2"/>
  <c r="S40" i="2"/>
  <c r="T40" i="2"/>
  <c r="P41" i="2"/>
  <c r="Q41" i="2"/>
  <c r="S41" i="2"/>
  <c r="T41" i="2"/>
  <c r="P42" i="2"/>
  <c r="Q42" i="2"/>
  <c r="S42" i="2"/>
  <c r="T42" i="2"/>
  <c r="P43" i="2"/>
  <c r="Q43" i="2"/>
  <c r="S43" i="2"/>
  <c r="T43" i="2"/>
  <c r="P44" i="2"/>
  <c r="Q44" i="2"/>
  <c r="S44" i="2"/>
  <c r="T44" i="2"/>
  <c r="P45" i="2"/>
  <c r="Q45" i="2"/>
  <c r="S45" i="2"/>
  <c r="T45" i="2"/>
  <c r="P46" i="2"/>
  <c r="Q46" i="2"/>
  <c r="S46" i="2"/>
  <c r="T46" i="2"/>
  <c r="P47" i="2"/>
  <c r="Q47" i="2"/>
  <c r="S47" i="2"/>
  <c r="T47" i="2"/>
  <c r="P48" i="2"/>
  <c r="Q48" i="2"/>
  <c r="S48" i="2"/>
  <c r="T48" i="2"/>
  <c r="P49" i="2"/>
  <c r="Q49" i="2"/>
  <c r="S49" i="2"/>
  <c r="T49" i="2"/>
  <c r="P50" i="2"/>
  <c r="Q50" i="2"/>
  <c r="S50" i="2"/>
  <c r="T50" i="2"/>
  <c r="P51" i="2"/>
  <c r="Q51" i="2"/>
  <c r="S51" i="2"/>
  <c r="T51" i="2"/>
  <c r="P52" i="2"/>
  <c r="Q52" i="2"/>
  <c r="S52" i="2"/>
  <c r="T52" i="2"/>
  <c r="P53" i="2"/>
  <c r="Q53" i="2"/>
  <c r="S53" i="2"/>
  <c r="T53" i="2"/>
  <c r="P54" i="2"/>
  <c r="Q54" i="2"/>
  <c r="S54" i="2"/>
  <c r="T54" i="2"/>
  <c r="P55" i="2"/>
  <c r="Q55" i="2"/>
  <c r="S55" i="2"/>
  <c r="T55" i="2"/>
  <c r="P56" i="2"/>
  <c r="Q56" i="2"/>
  <c r="S56" i="2"/>
  <c r="T56" i="2"/>
  <c r="P57" i="2"/>
  <c r="Q57" i="2"/>
  <c r="S57" i="2"/>
  <c r="T57" i="2"/>
  <c r="P58" i="2"/>
  <c r="Q58" i="2"/>
  <c r="S58" i="2"/>
  <c r="T58" i="2"/>
  <c r="P59" i="2"/>
  <c r="Q59" i="2"/>
  <c r="S59" i="2"/>
  <c r="T59" i="2"/>
  <c r="P60" i="2"/>
  <c r="Q60" i="2"/>
  <c r="S60" i="2"/>
  <c r="T60" i="2"/>
  <c r="P61" i="2"/>
  <c r="Q61" i="2"/>
  <c r="S61" i="2"/>
  <c r="T61" i="2"/>
  <c r="P62" i="2"/>
  <c r="Q62" i="2"/>
  <c r="S62" i="2"/>
  <c r="T62" i="2"/>
  <c r="P63" i="2"/>
  <c r="Q63" i="2"/>
  <c r="S63" i="2"/>
  <c r="T63" i="2"/>
  <c r="P64" i="2"/>
  <c r="Q64" i="2"/>
  <c r="S64" i="2"/>
  <c r="T64" i="2"/>
  <c r="P65" i="2"/>
  <c r="Q65" i="2"/>
  <c r="S65" i="2"/>
  <c r="T65" i="2"/>
  <c r="P66" i="2"/>
  <c r="Q66" i="2"/>
  <c r="S66" i="2"/>
  <c r="T66" i="2"/>
  <c r="P67" i="2"/>
  <c r="Q67" i="2"/>
  <c r="S67" i="2"/>
  <c r="T67" i="2"/>
  <c r="P68" i="2"/>
  <c r="Q68" i="2"/>
  <c r="S68" i="2"/>
  <c r="T68" i="2"/>
  <c r="P69" i="2"/>
  <c r="Q69" i="2"/>
  <c r="S69" i="2"/>
  <c r="T69" i="2"/>
  <c r="P70" i="2"/>
  <c r="Q70" i="2"/>
  <c r="S70" i="2"/>
  <c r="T70" i="2"/>
  <c r="P71" i="2"/>
  <c r="Q71" i="2"/>
  <c r="S71" i="2"/>
  <c r="T71" i="2"/>
  <c r="P72" i="2"/>
  <c r="Q72" i="2"/>
  <c r="S72" i="2"/>
  <c r="T72" i="2"/>
  <c r="P73" i="2"/>
  <c r="Q73" i="2"/>
  <c r="S73" i="2"/>
  <c r="T73" i="2"/>
  <c r="P74" i="2"/>
  <c r="Q74" i="2"/>
  <c r="S74" i="2"/>
  <c r="T74" i="2"/>
  <c r="P75" i="2"/>
  <c r="Q75" i="2"/>
  <c r="S75" i="2"/>
  <c r="T75" i="2"/>
  <c r="P76" i="2"/>
  <c r="Q76" i="2"/>
  <c r="S76" i="2"/>
  <c r="T76" i="2"/>
  <c r="P77" i="2"/>
  <c r="Q77" i="2"/>
  <c r="S77" i="2"/>
  <c r="T77" i="2"/>
  <c r="P78" i="2"/>
  <c r="Q78" i="2"/>
  <c r="S78" i="2"/>
  <c r="T78" i="2"/>
  <c r="P79" i="2"/>
  <c r="Q79" i="2"/>
  <c r="S79" i="2"/>
  <c r="T79" i="2"/>
  <c r="P80" i="2"/>
  <c r="Q80" i="2"/>
  <c r="S80" i="2"/>
  <c r="T80" i="2"/>
  <c r="P81" i="2"/>
  <c r="Q81" i="2"/>
  <c r="S81" i="2"/>
  <c r="T81" i="2"/>
  <c r="P82" i="2"/>
  <c r="Q82" i="2"/>
  <c r="S82" i="2"/>
  <c r="T82" i="2"/>
  <c r="P83" i="2"/>
  <c r="Q83" i="2"/>
  <c r="S83" i="2"/>
  <c r="T83" i="2"/>
  <c r="P84" i="2"/>
  <c r="Q84" i="2"/>
  <c r="S84" i="2"/>
  <c r="T84" i="2"/>
  <c r="P85" i="2"/>
  <c r="Q85" i="2"/>
  <c r="S85" i="2"/>
  <c r="T85" i="2"/>
  <c r="P86" i="2"/>
  <c r="Q86" i="2"/>
  <c r="S86" i="2"/>
  <c r="T86" i="2"/>
  <c r="P87" i="2"/>
  <c r="Q87" i="2"/>
  <c r="S87" i="2"/>
  <c r="T87" i="2"/>
  <c r="P88" i="2"/>
  <c r="Q88" i="2"/>
  <c r="S88" i="2"/>
  <c r="T88" i="2"/>
  <c r="P89" i="2"/>
  <c r="Q89" i="2"/>
  <c r="S89" i="2"/>
  <c r="T89" i="2"/>
  <c r="P90" i="2"/>
  <c r="Q90" i="2"/>
  <c r="S90" i="2"/>
  <c r="T90" i="2"/>
  <c r="P91" i="2"/>
  <c r="Q91" i="2"/>
  <c r="S91" i="2"/>
  <c r="T91" i="2"/>
  <c r="P92" i="2"/>
  <c r="Q92" i="2"/>
  <c r="S92" i="2"/>
  <c r="T92" i="2"/>
  <c r="T23" i="2"/>
  <c r="S23" i="2"/>
  <c r="Q23" i="2"/>
  <c r="P23" i="2"/>
  <c r="P8" i="2"/>
  <c r="V8" i="2" s="1"/>
  <c r="Q8" i="2"/>
  <c r="W8" i="2" s="1"/>
  <c r="P9" i="2"/>
  <c r="V9" i="2" s="1"/>
  <c r="Q9" i="2"/>
  <c r="W9" i="2" s="1"/>
  <c r="P10" i="2"/>
  <c r="V10" i="2" s="1"/>
  <c r="Q10" i="2"/>
  <c r="W10" i="2" s="1"/>
  <c r="P11" i="2"/>
  <c r="V11" i="2" s="1"/>
  <c r="Q11" i="2"/>
  <c r="W11" i="2" s="1"/>
  <c r="P12" i="2"/>
  <c r="V12" i="2" s="1"/>
  <c r="Q12" i="2"/>
  <c r="W12" i="2" s="1"/>
  <c r="P13" i="2"/>
  <c r="V13" i="2" s="1"/>
  <c r="Q13" i="2"/>
  <c r="W13" i="2" s="1"/>
  <c r="P14" i="2"/>
  <c r="V14" i="2" s="1"/>
  <c r="Q14" i="2"/>
  <c r="W14" i="2" s="1"/>
  <c r="P15" i="2"/>
  <c r="V15" i="2" s="1"/>
  <c r="Q15" i="2"/>
  <c r="W15" i="2" s="1"/>
  <c r="P16" i="2"/>
  <c r="V16" i="2" s="1"/>
  <c r="Q16" i="2"/>
  <c r="W16" i="2" s="1"/>
  <c r="P17" i="2"/>
  <c r="Q17" i="2"/>
  <c r="P18" i="2"/>
  <c r="Q18" i="2"/>
  <c r="P19" i="2"/>
  <c r="V19" i="2" s="1"/>
  <c r="Q19" i="2"/>
  <c r="W19" i="2" s="1"/>
  <c r="V7" i="2"/>
  <c r="Q7" i="2"/>
  <c r="W7" i="2" s="1"/>
  <c r="S7" i="2"/>
  <c r="Y7" i="2" s="1"/>
  <c r="T8" i="2"/>
  <c r="Z8" i="2" s="1"/>
  <c r="T9" i="2"/>
  <c r="Z9" i="2" s="1"/>
  <c r="T10" i="2"/>
  <c r="Z10" i="2" s="1"/>
  <c r="T11" i="2"/>
  <c r="Z11" i="2" s="1"/>
  <c r="T12" i="2"/>
  <c r="Z12" i="2" s="1"/>
  <c r="T13" i="2"/>
  <c r="Z13" i="2" s="1"/>
  <c r="T14" i="2"/>
  <c r="Z14" i="2" s="1"/>
  <c r="T15" i="2"/>
  <c r="Z15" i="2" s="1"/>
  <c r="T16" i="2"/>
  <c r="Z16" i="2" s="1"/>
  <c r="T17" i="2"/>
  <c r="T18" i="2"/>
  <c r="T19" i="2"/>
  <c r="Z19" i="2" s="1"/>
  <c r="T7" i="2"/>
  <c r="Z7" i="2" s="1"/>
  <c r="S8" i="2"/>
  <c r="Y8" i="2" s="1"/>
  <c r="S9" i="2"/>
  <c r="Y9" i="2" s="1"/>
  <c r="S10" i="2"/>
  <c r="Y10" i="2" s="1"/>
  <c r="S11" i="2"/>
  <c r="Y11" i="2" s="1"/>
  <c r="S12" i="2"/>
  <c r="Y12" i="2" s="1"/>
  <c r="S13" i="2"/>
  <c r="Y13" i="2" s="1"/>
  <c r="S14" i="2"/>
  <c r="Y14" i="2" s="1"/>
  <c r="S15" i="2"/>
  <c r="Y15" i="2" s="1"/>
  <c r="S16" i="2"/>
  <c r="Y16" i="2" s="1"/>
  <c r="S17" i="2"/>
  <c r="S18" i="2"/>
  <c r="S19" i="2"/>
  <c r="Y19" i="2" s="1"/>
  <c r="AA14" i="4" l="1"/>
  <c r="L48" i="21"/>
  <c r="M48" i="21" s="1"/>
  <c r="AA17" i="4"/>
  <c r="AA8" i="4"/>
  <c r="AA44" i="4"/>
  <c r="AA9" i="4"/>
  <c r="AA45" i="4"/>
  <c r="AA36" i="4"/>
  <c r="AA13" i="4"/>
  <c r="AA21" i="4"/>
  <c r="AA49" i="4"/>
  <c r="AA41" i="4"/>
  <c r="U7" i="18"/>
  <c r="AA10" i="4"/>
  <c r="AA46" i="4"/>
  <c r="AA38" i="4"/>
  <c r="AA30" i="4"/>
  <c r="AA22" i="4"/>
  <c r="AA37" i="4"/>
  <c r="AA29" i="4"/>
  <c r="AA33" i="4"/>
  <c r="AA25" i="4"/>
  <c r="U15" i="18"/>
  <c r="U8" i="18"/>
  <c r="U14" i="18"/>
  <c r="AA7" i="4"/>
  <c r="AA16" i="4"/>
  <c r="AA43" i="4"/>
  <c r="AA35" i="4"/>
  <c r="AA27" i="4"/>
  <c r="AA12" i="4"/>
  <c r="AA48" i="4"/>
  <c r="AA40" i="4"/>
  <c r="AA32" i="4"/>
  <c r="AA24" i="4"/>
  <c r="AA50" i="4"/>
  <c r="AA42" i="4"/>
  <c r="AA34" i="4"/>
  <c r="AA26" i="4"/>
  <c r="AA11" i="4"/>
  <c r="AA47" i="4"/>
  <c r="AA39" i="4"/>
  <c r="AA31" i="4"/>
  <c r="AA23" i="4"/>
  <c r="AA28" i="4"/>
  <c r="BG9" i="6"/>
  <c r="BG7" i="6"/>
  <c r="BG11" i="6"/>
  <c r="BG17" i="6"/>
  <c r="BG23" i="6"/>
  <c r="BG26" i="6"/>
  <c r="BF34" i="6"/>
  <c r="BD34" i="6"/>
  <c r="BC34" i="6"/>
  <c r="BG8" i="6"/>
  <c r="BG30" i="6"/>
  <c r="BG16" i="6"/>
  <c r="BB34" i="6"/>
  <c r="BE34" i="6"/>
  <c r="BG21" i="6"/>
  <c r="BG12" i="6"/>
  <c r="BG6" i="6"/>
  <c r="BA34" i="6"/>
  <c r="BG20" i="6"/>
  <c r="BG25" i="6"/>
  <c r="BG19" i="6"/>
  <c r="BG24" i="6"/>
  <c r="BG10" i="6"/>
  <c r="BG31" i="6"/>
  <c r="BG33" i="6"/>
  <c r="BG29" i="6"/>
  <c r="BG15" i="6"/>
  <c r="BG28" i="6"/>
  <c r="BG14" i="6"/>
  <c r="AG12" i="20"/>
  <c r="CO41" i="20" s="1"/>
  <c r="AG11" i="20"/>
  <c r="CI41" i="20" s="1"/>
  <c r="AG10" i="20"/>
  <c r="BQ41" i="20" s="1"/>
  <c r="AG9" i="20"/>
  <c r="BK41" i="20" s="1"/>
  <c r="AG8" i="20"/>
  <c r="AY41" i="20" s="1"/>
  <c r="AG7" i="20"/>
  <c r="AS41" i="20" s="1"/>
  <c r="AD12" i="20"/>
  <c r="CL41" i="20" s="1"/>
  <c r="AD11" i="20"/>
  <c r="CF41" i="20" s="1"/>
  <c r="AD10" i="20"/>
  <c r="BN41" i="20" s="1"/>
  <c r="AD9" i="20"/>
  <c r="BH41" i="20" s="1"/>
  <c r="AD8" i="20"/>
  <c r="AV41" i="20" s="1"/>
  <c r="AD7" i="20"/>
  <c r="AP41" i="20" s="1"/>
  <c r="T17" i="3"/>
  <c r="T18" i="3" s="1"/>
  <c r="AD17" i="20" l="1"/>
  <c r="AG17" i="20"/>
  <c r="BG34" i="6"/>
  <c r="W21" i="20"/>
  <c r="Z21" i="20"/>
  <c r="W22" i="20"/>
  <c r="Z22" i="20"/>
  <c r="W23" i="20"/>
  <c r="Z23" i="20"/>
  <c r="W24" i="20"/>
  <c r="Z24" i="20"/>
  <c r="W25" i="20"/>
  <c r="Z25" i="20"/>
  <c r="W26" i="20"/>
  <c r="Z26" i="20"/>
  <c r="W27" i="20"/>
  <c r="Z27" i="20"/>
  <c r="W28" i="20"/>
  <c r="Z28" i="20"/>
  <c r="W29" i="20"/>
  <c r="Z29" i="20"/>
  <c r="W30" i="20"/>
  <c r="Z30" i="20"/>
  <c r="W31" i="20"/>
  <c r="Z31" i="20"/>
  <c r="W32" i="20"/>
  <c r="Z32" i="20"/>
  <c r="W33" i="20"/>
  <c r="Z33" i="20"/>
  <c r="W34" i="20"/>
  <c r="Z34" i="20"/>
  <c r="W35" i="20"/>
  <c r="Z35" i="20"/>
  <c r="W36" i="20"/>
  <c r="Z36" i="20"/>
  <c r="W37" i="20"/>
  <c r="Z37" i="20"/>
  <c r="W38" i="20"/>
  <c r="Z38" i="20"/>
  <c r="W39" i="20"/>
  <c r="Z39" i="20"/>
  <c r="W40" i="20"/>
  <c r="Z40" i="20"/>
  <c r="W42" i="20"/>
  <c r="Z42" i="20"/>
  <c r="W43" i="20"/>
  <c r="Z43" i="20"/>
  <c r="Z20" i="20"/>
  <c r="W20" i="20"/>
  <c r="W16" i="20"/>
  <c r="Z8" i="20"/>
  <c r="Z9" i="20"/>
  <c r="Z10" i="20"/>
  <c r="Z11" i="20"/>
  <c r="Z12" i="20"/>
  <c r="Z13" i="20"/>
  <c r="Z14" i="20"/>
  <c r="Z15" i="20"/>
  <c r="Z16" i="20"/>
  <c r="Z7" i="20"/>
  <c r="W8" i="20"/>
  <c r="W9" i="20"/>
  <c r="W10" i="20"/>
  <c r="W11" i="20"/>
  <c r="W12" i="20"/>
  <c r="W13" i="20"/>
  <c r="W14" i="20"/>
  <c r="W15" i="20"/>
  <c r="W7" i="20"/>
  <c r="H21" i="20"/>
  <c r="I21" i="20"/>
  <c r="J21" i="20"/>
  <c r="K21" i="20"/>
  <c r="H22" i="20"/>
  <c r="I22" i="20"/>
  <c r="J22" i="20"/>
  <c r="K22" i="20"/>
  <c r="H23" i="20"/>
  <c r="I23" i="20"/>
  <c r="J23" i="20"/>
  <c r="K23" i="20"/>
  <c r="H24" i="20"/>
  <c r="I24" i="20"/>
  <c r="J24" i="20"/>
  <c r="K24" i="20"/>
  <c r="H25" i="20"/>
  <c r="I25" i="20"/>
  <c r="J25" i="20"/>
  <c r="K25" i="20"/>
  <c r="H26" i="20"/>
  <c r="I26" i="20"/>
  <c r="J26" i="20"/>
  <c r="K26" i="20"/>
  <c r="H27" i="20"/>
  <c r="I27" i="20"/>
  <c r="J27" i="20"/>
  <c r="K27" i="20"/>
  <c r="H28" i="20"/>
  <c r="I28" i="20"/>
  <c r="J28" i="20"/>
  <c r="K28" i="20"/>
  <c r="H29" i="20"/>
  <c r="I29" i="20"/>
  <c r="J29" i="20"/>
  <c r="K29" i="20"/>
  <c r="H30" i="20"/>
  <c r="I30" i="20"/>
  <c r="J30" i="20"/>
  <c r="K30" i="20"/>
  <c r="H31" i="20"/>
  <c r="I31" i="20"/>
  <c r="J31" i="20"/>
  <c r="K31" i="20"/>
  <c r="H32" i="20"/>
  <c r="I32" i="20"/>
  <c r="J32" i="20"/>
  <c r="K32" i="20"/>
  <c r="H33" i="20"/>
  <c r="I33" i="20"/>
  <c r="J33" i="20"/>
  <c r="K33" i="20"/>
  <c r="H34" i="20"/>
  <c r="I34" i="20"/>
  <c r="J34" i="20"/>
  <c r="K34" i="20"/>
  <c r="H35" i="20"/>
  <c r="I35" i="20"/>
  <c r="J35" i="20"/>
  <c r="K35" i="20"/>
  <c r="H36" i="20"/>
  <c r="I36" i="20"/>
  <c r="J36" i="20"/>
  <c r="K36" i="20"/>
  <c r="H37" i="20"/>
  <c r="I37" i="20"/>
  <c r="J37" i="20"/>
  <c r="K37" i="20"/>
  <c r="H38" i="20"/>
  <c r="I38" i="20"/>
  <c r="J38" i="20"/>
  <c r="K38" i="20"/>
  <c r="H39" i="20"/>
  <c r="I39" i="20"/>
  <c r="J39" i="20"/>
  <c r="K39" i="20"/>
  <c r="I40" i="20"/>
  <c r="J40" i="20"/>
  <c r="K40" i="20"/>
  <c r="K20" i="20"/>
  <c r="J20" i="20"/>
  <c r="I20" i="20"/>
  <c r="H20" i="20"/>
  <c r="H8" i="20"/>
  <c r="I8" i="20"/>
  <c r="J8" i="20"/>
  <c r="K8" i="20"/>
  <c r="H9" i="20"/>
  <c r="I9" i="20"/>
  <c r="J9" i="20"/>
  <c r="K9" i="20"/>
  <c r="H10" i="20"/>
  <c r="I10" i="20"/>
  <c r="J10" i="20"/>
  <c r="K10" i="20"/>
  <c r="H11" i="20"/>
  <c r="I11" i="20"/>
  <c r="J11" i="20"/>
  <c r="K11" i="20"/>
  <c r="H12" i="20"/>
  <c r="I12" i="20"/>
  <c r="J12" i="20"/>
  <c r="K12" i="20"/>
  <c r="H13" i="20"/>
  <c r="I13" i="20"/>
  <c r="J13" i="20"/>
  <c r="K13" i="20"/>
  <c r="H14" i="20"/>
  <c r="I14" i="20"/>
  <c r="J14" i="20"/>
  <c r="K14" i="20"/>
  <c r="H15" i="20"/>
  <c r="I15" i="20"/>
  <c r="J15" i="20"/>
  <c r="K15" i="20"/>
  <c r="H16" i="20"/>
  <c r="I16" i="20"/>
  <c r="J16" i="20"/>
  <c r="K16" i="20"/>
  <c r="H7" i="20"/>
  <c r="I7" i="20"/>
  <c r="J7" i="20"/>
  <c r="K7" i="20"/>
  <c r="L17" i="20"/>
  <c r="L46" i="20" s="1"/>
  <c r="X8" i="18"/>
  <c r="W8" i="18"/>
  <c r="X7" i="18"/>
  <c r="W7" i="18"/>
  <c r="S16" i="18"/>
  <c r="T16" i="18"/>
  <c r="S17" i="18"/>
  <c r="T17" i="18"/>
  <c r="S18" i="18"/>
  <c r="T18" i="18"/>
  <c r="S19" i="18"/>
  <c r="T19" i="18"/>
  <c r="S20" i="18"/>
  <c r="T20" i="18"/>
  <c r="S9" i="18"/>
  <c r="T9" i="18"/>
  <c r="S10" i="18"/>
  <c r="T10" i="18"/>
  <c r="L21" i="18"/>
  <c r="L11" i="18"/>
  <c r="H7" i="18"/>
  <c r="I7" i="18"/>
  <c r="J7" i="18"/>
  <c r="K7" i="18"/>
  <c r="H8" i="18"/>
  <c r="I8" i="18"/>
  <c r="J8" i="18"/>
  <c r="K8" i="18"/>
  <c r="H14" i="18"/>
  <c r="I14" i="18"/>
  <c r="J14" i="18"/>
  <c r="K14" i="18"/>
  <c r="H15" i="18"/>
  <c r="I15" i="18"/>
  <c r="J15" i="18"/>
  <c r="K15" i="18"/>
  <c r="H16" i="18"/>
  <c r="I16" i="18"/>
  <c r="J16" i="18"/>
  <c r="K16" i="18"/>
  <c r="H17" i="18"/>
  <c r="I17" i="18"/>
  <c r="J17" i="18"/>
  <c r="K17" i="18"/>
  <c r="H18" i="18"/>
  <c r="I18" i="18"/>
  <c r="J18" i="18"/>
  <c r="K18" i="18"/>
  <c r="H19" i="18"/>
  <c r="I19" i="18"/>
  <c r="J19" i="18"/>
  <c r="K19" i="18"/>
  <c r="H20" i="18"/>
  <c r="I20" i="18"/>
  <c r="J20" i="18"/>
  <c r="K20" i="18"/>
  <c r="H9" i="18"/>
  <c r="I9" i="18"/>
  <c r="J9" i="18"/>
  <c r="K9" i="18"/>
  <c r="H10" i="18"/>
  <c r="I10" i="18"/>
  <c r="J10" i="18"/>
  <c r="K10" i="18"/>
  <c r="Z24" i="15"/>
  <c r="Z96" i="15" s="1"/>
  <c r="Y24" i="15"/>
  <c r="Y96" i="15" s="1"/>
  <c r="X12" i="15"/>
  <c r="Y12" i="15"/>
  <c r="Z12" i="15"/>
  <c r="X13" i="15"/>
  <c r="Y13" i="15"/>
  <c r="Z13" i="15"/>
  <c r="X14" i="15"/>
  <c r="Z14" i="15"/>
  <c r="X15" i="15"/>
  <c r="Y15" i="15"/>
  <c r="Z15" i="15"/>
  <c r="X16" i="15"/>
  <c r="Y16" i="15"/>
  <c r="Z16" i="15"/>
  <c r="X17" i="15"/>
  <c r="Y17" i="15"/>
  <c r="X18" i="15"/>
  <c r="Z18" i="15"/>
  <c r="Y19" i="15"/>
  <c r="Z19" i="15"/>
  <c r="X20" i="15"/>
  <c r="Y20" i="15"/>
  <c r="Z20" i="15"/>
  <c r="Y11" i="15"/>
  <c r="X11" i="15"/>
  <c r="X8" i="15"/>
  <c r="Z8" i="15"/>
  <c r="Z7" i="15"/>
  <c r="Y7" i="15"/>
  <c r="X7" i="15"/>
  <c r="Z11" i="15"/>
  <c r="X24" i="15"/>
  <c r="X96" i="15" s="1"/>
  <c r="Y8" i="15"/>
  <c r="X9" i="15"/>
  <c r="Y9" i="15"/>
  <c r="Z9" i="15"/>
  <c r="X10" i="15"/>
  <c r="Y10" i="15"/>
  <c r="Z10" i="15"/>
  <c r="Y14" i="15"/>
  <c r="Z17" i="15"/>
  <c r="Y18" i="15"/>
  <c r="X19" i="15"/>
  <c r="X80" i="12"/>
  <c r="Z80" i="12"/>
  <c r="X81" i="12"/>
  <c r="X82" i="12"/>
  <c r="Z82" i="12"/>
  <c r="Z83" i="12"/>
  <c r="Z79" i="12"/>
  <c r="X79" i="12"/>
  <c r="X61" i="12"/>
  <c r="Z62" i="12"/>
  <c r="X63" i="12"/>
  <c r="Z63" i="12"/>
  <c r="X65" i="12"/>
  <c r="Z65" i="12"/>
  <c r="X66" i="12"/>
  <c r="Z66" i="12"/>
  <c r="X68" i="12"/>
  <c r="Z68" i="12"/>
  <c r="X69" i="12"/>
  <c r="Z70" i="12"/>
  <c r="X71" i="12"/>
  <c r="Z71" i="12"/>
  <c r="X73" i="12"/>
  <c r="Z73" i="12"/>
  <c r="X74" i="12"/>
  <c r="Z74" i="12"/>
  <c r="X76" i="12"/>
  <c r="Z76" i="12"/>
  <c r="X77" i="12"/>
  <c r="X60" i="12"/>
  <c r="X56" i="12"/>
  <c r="Z56" i="12"/>
  <c r="Z57" i="12"/>
  <c r="X58" i="12"/>
  <c r="Z58" i="12"/>
  <c r="Z55" i="12"/>
  <c r="X55" i="12"/>
  <c r="X34" i="12"/>
  <c r="Z34" i="12"/>
  <c r="X35" i="12"/>
  <c r="Z36" i="12"/>
  <c r="X37" i="12"/>
  <c r="Z37" i="12"/>
  <c r="X38" i="12"/>
  <c r="X39" i="12"/>
  <c r="Z39" i="12"/>
  <c r="X40" i="12"/>
  <c r="Z40" i="12"/>
  <c r="X42" i="12"/>
  <c r="Z42" i="12"/>
  <c r="X43" i="12"/>
  <c r="Z44" i="12"/>
  <c r="X45" i="12"/>
  <c r="X46" i="12"/>
  <c r="X47" i="12"/>
  <c r="Z47" i="12"/>
  <c r="X48" i="12"/>
  <c r="Z48" i="12"/>
  <c r="X50" i="12"/>
  <c r="Z50" i="12"/>
  <c r="X51" i="12"/>
  <c r="Z52" i="12"/>
  <c r="X53" i="12"/>
  <c r="Z53" i="12"/>
  <c r="Z32" i="12"/>
  <c r="X29" i="12"/>
  <c r="Z29" i="12"/>
  <c r="X30" i="12"/>
  <c r="Z30" i="12"/>
  <c r="Z28" i="12"/>
  <c r="X28" i="12"/>
  <c r="X24" i="12"/>
  <c r="Z24" i="12"/>
  <c r="X25" i="12"/>
  <c r="Z25" i="12"/>
  <c r="Z26" i="12"/>
  <c r="Z23" i="12"/>
  <c r="X23" i="12"/>
  <c r="Z27" i="12"/>
  <c r="Z31" i="12"/>
  <c r="Z33" i="12"/>
  <c r="Z35" i="12"/>
  <c r="Z38" i="12"/>
  <c r="Z41" i="12"/>
  <c r="Z43" i="12"/>
  <c r="Z45" i="12"/>
  <c r="Z46" i="12"/>
  <c r="Z49" i="12"/>
  <c r="Z51" i="12"/>
  <c r="Z54" i="12"/>
  <c r="Z59" i="12"/>
  <c r="Z60" i="12"/>
  <c r="Z61" i="12"/>
  <c r="Z64" i="12"/>
  <c r="Z67" i="12"/>
  <c r="Z69" i="12"/>
  <c r="Z72" i="12"/>
  <c r="Z75" i="12"/>
  <c r="Z77" i="12"/>
  <c r="Z78" i="12"/>
  <c r="Z81" i="12"/>
  <c r="X26" i="12"/>
  <c r="X27" i="12"/>
  <c r="X31" i="12"/>
  <c r="X32" i="12"/>
  <c r="X33" i="12"/>
  <c r="X36" i="12"/>
  <c r="X41" i="12"/>
  <c r="X44" i="12"/>
  <c r="X49" i="12"/>
  <c r="X52" i="12"/>
  <c r="X54" i="12"/>
  <c r="X57" i="12"/>
  <c r="X59" i="12"/>
  <c r="X62" i="12"/>
  <c r="X64" i="12"/>
  <c r="X67" i="12"/>
  <c r="X70" i="12"/>
  <c r="X72" i="12"/>
  <c r="X75" i="12"/>
  <c r="X78" i="12"/>
  <c r="X83" i="12"/>
  <c r="Z9" i="12"/>
  <c r="Z10" i="12"/>
  <c r="Z11" i="12"/>
  <c r="Z12" i="12"/>
  <c r="Z13" i="12"/>
  <c r="Z14" i="12"/>
  <c r="Z15" i="12"/>
  <c r="Z17" i="12"/>
  <c r="Z18" i="12"/>
  <c r="Z19" i="12"/>
  <c r="Z7" i="12"/>
  <c r="X8" i="12"/>
  <c r="X9" i="12"/>
  <c r="X10" i="12"/>
  <c r="X11" i="12"/>
  <c r="X12" i="12"/>
  <c r="X13" i="12"/>
  <c r="X14" i="12"/>
  <c r="X15" i="12"/>
  <c r="X17" i="12"/>
  <c r="X18" i="12"/>
  <c r="X19" i="12"/>
  <c r="X7" i="12"/>
  <c r="L23" i="18" l="1"/>
  <c r="T11" i="18"/>
  <c r="U19" i="18"/>
  <c r="U10" i="18"/>
  <c r="U18" i="18"/>
  <c r="AA15" i="20"/>
  <c r="AA8" i="20"/>
  <c r="W11" i="18"/>
  <c r="AA39" i="20"/>
  <c r="AA35" i="20"/>
  <c r="AA31" i="20"/>
  <c r="AA27" i="20"/>
  <c r="AA23" i="20"/>
  <c r="AA10" i="20"/>
  <c r="AA9" i="20"/>
  <c r="AA7" i="20"/>
  <c r="AA14" i="20"/>
  <c r="AA30" i="20"/>
  <c r="U9" i="18"/>
  <c r="AA11" i="20"/>
  <c r="U20" i="18"/>
  <c r="U16" i="18"/>
  <c r="AA43" i="20"/>
  <c r="AA22" i="20"/>
  <c r="AA42" i="20"/>
  <c r="AA37" i="20"/>
  <c r="AA33" i="20"/>
  <c r="AA29" i="20"/>
  <c r="AA25" i="20"/>
  <c r="AA21" i="20"/>
  <c r="AA26" i="20"/>
  <c r="AA34" i="20"/>
  <c r="AA13" i="20"/>
  <c r="AA16" i="20"/>
  <c r="AA40" i="20"/>
  <c r="AA36" i="20"/>
  <c r="AA32" i="20"/>
  <c r="AA28" i="20"/>
  <c r="AA24" i="20"/>
  <c r="AA38" i="20"/>
  <c r="AA12" i="20"/>
  <c r="AA20" i="20"/>
  <c r="BD17" i="18"/>
  <c r="U17" i="18"/>
  <c r="J21" i="18"/>
  <c r="I21" i="18"/>
  <c r="X11" i="18"/>
  <c r="H21" i="18"/>
  <c r="K21" i="18"/>
  <c r="K11" i="18"/>
  <c r="S11" i="18"/>
  <c r="AF18" i="18"/>
  <c r="AG10" i="18"/>
  <c r="AG17" i="18"/>
  <c r="AF7" i="18"/>
  <c r="AS42" i="20"/>
  <c r="BK42" i="20"/>
  <c r="AY42" i="20"/>
  <c r="CO42" i="20"/>
  <c r="CI42" i="20"/>
  <c r="BQ42" i="20"/>
  <c r="CI43" i="20"/>
  <c r="BK43" i="20"/>
  <c r="AY43" i="20"/>
  <c r="AS43" i="20"/>
  <c r="CO43" i="20"/>
  <c r="BQ43" i="20"/>
  <c r="BK39" i="20"/>
  <c r="CI39" i="20"/>
  <c r="BQ39" i="20"/>
  <c r="AY39" i="20"/>
  <c r="AS39" i="20"/>
  <c r="CO39" i="20"/>
  <c r="BK35" i="20"/>
  <c r="AY35" i="20"/>
  <c r="AS35" i="20"/>
  <c r="CI35" i="20"/>
  <c r="CO35" i="20"/>
  <c r="BQ35" i="20"/>
  <c r="BK31" i="20"/>
  <c r="AY31" i="20"/>
  <c r="AS31" i="20"/>
  <c r="BQ31" i="20"/>
  <c r="CO31" i="20"/>
  <c r="CI31" i="20"/>
  <c r="CI27" i="20"/>
  <c r="BQ27" i="20"/>
  <c r="BK27" i="20"/>
  <c r="AY27" i="20"/>
  <c r="AS27" i="20"/>
  <c r="CO27" i="20"/>
  <c r="BK23" i="20"/>
  <c r="CI23" i="20"/>
  <c r="AY23" i="20"/>
  <c r="AS23" i="20"/>
  <c r="BQ23" i="20"/>
  <c r="CO23" i="20"/>
  <c r="CF43" i="20"/>
  <c r="BH43" i="20"/>
  <c r="AP43" i="20"/>
  <c r="AV43" i="20"/>
  <c r="CL43" i="20"/>
  <c r="BN43" i="20"/>
  <c r="BH39" i="20"/>
  <c r="AV39" i="20"/>
  <c r="AP39" i="20"/>
  <c r="CL39" i="20"/>
  <c r="CF39" i="20"/>
  <c r="BN39" i="20"/>
  <c r="BH35" i="20"/>
  <c r="AV35" i="20"/>
  <c r="AP35" i="20"/>
  <c r="CL35" i="20"/>
  <c r="CF35" i="20"/>
  <c r="BN35" i="20"/>
  <c r="BH31" i="20"/>
  <c r="AV31" i="20"/>
  <c r="AP31" i="20"/>
  <c r="CL31" i="20"/>
  <c r="CF31" i="20"/>
  <c r="BN31" i="20"/>
  <c r="BH27" i="20"/>
  <c r="AV27" i="20"/>
  <c r="AP27" i="20"/>
  <c r="CL27" i="20"/>
  <c r="CF27" i="20"/>
  <c r="BN27" i="20"/>
  <c r="BH23" i="20"/>
  <c r="AV23" i="20"/>
  <c r="AP23" i="20"/>
  <c r="CL23" i="20"/>
  <c r="CF23" i="20"/>
  <c r="BN23" i="20"/>
  <c r="BK22" i="20"/>
  <c r="AY22" i="20"/>
  <c r="AS22" i="20"/>
  <c r="CO22" i="20"/>
  <c r="CI22" i="20"/>
  <c r="BQ22" i="20"/>
  <c r="AV42" i="20"/>
  <c r="AP42" i="20"/>
  <c r="CL42" i="20"/>
  <c r="CF42" i="20"/>
  <c r="BN42" i="20"/>
  <c r="BH42" i="20"/>
  <c r="AV38" i="20"/>
  <c r="AP38" i="20"/>
  <c r="CL38" i="20"/>
  <c r="CF38" i="20"/>
  <c r="BN38" i="20"/>
  <c r="BH38" i="20"/>
  <c r="AV34" i="20"/>
  <c r="AP34" i="20"/>
  <c r="CL34" i="20"/>
  <c r="CF34" i="20"/>
  <c r="BN34" i="20"/>
  <c r="BH34" i="20"/>
  <c r="AV30" i="20"/>
  <c r="AP30" i="20"/>
  <c r="CL30" i="20"/>
  <c r="CF30" i="20"/>
  <c r="BN30" i="20"/>
  <c r="BH30" i="20"/>
  <c r="AV26" i="20"/>
  <c r="AP26" i="20"/>
  <c r="CL26" i="20"/>
  <c r="CF26" i="20"/>
  <c r="BN26" i="20"/>
  <c r="BH26" i="20"/>
  <c r="AV22" i="20"/>
  <c r="AP22" i="20"/>
  <c r="CL22" i="20"/>
  <c r="CF22" i="20"/>
  <c r="BN22" i="20"/>
  <c r="BH22" i="20"/>
  <c r="AY26" i="20"/>
  <c r="AS26" i="20"/>
  <c r="BK26" i="20"/>
  <c r="CO26" i="20"/>
  <c r="CI26" i="20"/>
  <c r="BQ26" i="20"/>
  <c r="CO37" i="20"/>
  <c r="AS37" i="20"/>
  <c r="AY37" i="20"/>
  <c r="CI37" i="20"/>
  <c r="BQ37" i="20"/>
  <c r="BK37" i="20"/>
  <c r="CO33" i="20"/>
  <c r="CI33" i="20"/>
  <c r="BQ33" i="20"/>
  <c r="AY33" i="20"/>
  <c r="AS33" i="20"/>
  <c r="BK33" i="20"/>
  <c r="CO29" i="20"/>
  <c r="CI29" i="20"/>
  <c r="BQ29" i="20"/>
  <c r="AY29" i="20"/>
  <c r="AS29" i="20"/>
  <c r="BK29" i="20"/>
  <c r="AS25" i="20"/>
  <c r="CO25" i="20"/>
  <c r="AY25" i="20"/>
  <c r="CI25" i="20"/>
  <c r="BQ25" i="20"/>
  <c r="BK25" i="20"/>
  <c r="CO21" i="20"/>
  <c r="CI21" i="20"/>
  <c r="BQ21" i="20"/>
  <c r="BK21" i="20"/>
  <c r="AY21" i="20"/>
  <c r="AS21" i="20"/>
  <c r="AY30" i="20"/>
  <c r="AS30" i="20"/>
  <c r="CO30" i="20"/>
  <c r="BK30" i="20"/>
  <c r="CI30" i="20"/>
  <c r="BQ30" i="20"/>
  <c r="CL37" i="20"/>
  <c r="CF37" i="20"/>
  <c r="BN37" i="20"/>
  <c r="BH37" i="20"/>
  <c r="AP37" i="20"/>
  <c r="AV37" i="20"/>
  <c r="CL33" i="20"/>
  <c r="CF33" i="20"/>
  <c r="BN33" i="20"/>
  <c r="BH33" i="20"/>
  <c r="AV33" i="20"/>
  <c r="AP33" i="20"/>
  <c r="CL29" i="20"/>
  <c r="CF29" i="20"/>
  <c r="BN29" i="20"/>
  <c r="BH29" i="20"/>
  <c r="AP29" i="20"/>
  <c r="AV29" i="20"/>
  <c r="CL25" i="20"/>
  <c r="CF25" i="20"/>
  <c r="BN25" i="20"/>
  <c r="BH25" i="20"/>
  <c r="AV25" i="20"/>
  <c r="AP25" i="20"/>
  <c r="CL21" i="20"/>
  <c r="CF21" i="20"/>
  <c r="BN21" i="20"/>
  <c r="BH21" i="20"/>
  <c r="AV21" i="20"/>
  <c r="AP21" i="20"/>
  <c r="AY34" i="20"/>
  <c r="AS34" i="20"/>
  <c r="CO34" i="20"/>
  <c r="BK34" i="20"/>
  <c r="CI34" i="20"/>
  <c r="BQ34" i="20"/>
  <c r="CL20" i="20"/>
  <c r="BN20" i="20"/>
  <c r="BH20" i="20"/>
  <c r="AP20" i="20"/>
  <c r="AV20" i="20"/>
  <c r="CF20" i="20"/>
  <c r="CI40" i="20"/>
  <c r="BQ40" i="20"/>
  <c r="CO40" i="20"/>
  <c r="BK40" i="20"/>
  <c r="AY40" i="20"/>
  <c r="AS40" i="20"/>
  <c r="CI36" i="20"/>
  <c r="BQ36" i="20"/>
  <c r="BK36" i="20"/>
  <c r="AY36" i="20"/>
  <c r="AS36" i="20"/>
  <c r="CO36" i="20"/>
  <c r="CI32" i="20"/>
  <c r="BQ32" i="20"/>
  <c r="BK32" i="20"/>
  <c r="CO32" i="20"/>
  <c r="AY32" i="20"/>
  <c r="AS32" i="20"/>
  <c r="CI28" i="20"/>
  <c r="BQ28" i="20"/>
  <c r="BK28" i="20"/>
  <c r="AY28" i="20"/>
  <c r="AS28" i="20"/>
  <c r="CO28" i="20"/>
  <c r="CI24" i="20"/>
  <c r="BQ24" i="20"/>
  <c r="BK24" i="20"/>
  <c r="CO24" i="20"/>
  <c r="AY24" i="20"/>
  <c r="AS24" i="20"/>
  <c r="W44" i="20"/>
  <c r="AY38" i="20"/>
  <c r="AS38" i="20"/>
  <c r="CO38" i="20"/>
  <c r="CI38" i="20"/>
  <c r="BQ38" i="20"/>
  <c r="BK38" i="20"/>
  <c r="BQ20" i="20"/>
  <c r="BK20" i="20"/>
  <c r="AY20" i="20"/>
  <c r="AS20" i="20"/>
  <c r="CO20" i="20"/>
  <c r="CI20" i="20"/>
  <c r="CF40" i="20"/>
  <c r="BN40" i="20"/>
  <c r="BH40" i="20"/>
  <c r="AV40" i="20"/>
  <c r="AP40" i="20"/>
  <c r="CL40" i="20"/>
  <c r="CF36" i="20"/>
  <c r="BN36" i="20"/>
  <c r="BH36" i="20"/>
  <c r="AV36" i="20"/>
  <c r="AP36" i="20"/>
  <c r="CL36" i="20"/>
  <c r="CF32" i="20"/>
  <c r="BN32" i="20"/>
  <c r="BH32" i="20"/>
  <c r="AV32" i="20"/>
  <c r="AP32" i="20"/>
  <c r="CL32" i="20"/>
  <c r="CF28" i="20"/>
  <c r="BN28" i="20"/>
  <c r="BH28" i="20"/>
  <c r="AV28" i="20"/>
  <c r="AP28" i="20"/>
  <c r="CL28" i="20"/>
  <c r="CF24" i="20"/>
  <c r="BN24" i="20"/>
  <c r="BH24" i="20"/>
  <c r="AV24" i="20"/>
  <c r="AP24" i="20"/>
  <c r="CL24" i="20"/>
  <c r="Z44" i="20"/>
  <c r="CI13" i="20"/>
  <c r="BQ13" i="20"/>
  <c r="BK13" i="20"/>
  <c r="AY13" i="20"/>
  <c r="AS13" i="20"/>
  <c r="CO13" i="20"/>
  <c r="BN9" i="20"/>
  <c r="BH9" i="20"/>
  <c r="AV9" i="20"/>
  <c r="CL9" i="20"/>
  <c r="AP9" i="20"/>
  <c r="CF9" i="20"/>
  <c r="CO11" i="20"/>
  <c r="AS11" i="20"/>
  <c r="CI11" i="20"/>
  <c r="BQ11" i="20"/>
  <c r="BK11" i="20"/>
  <c r="AY11" i="20"/>
  <c r="CL16" i="20"/>
  <c r="AP16" i="20"/>
  <c r="CF16" i="20"/>
  <c r="BN16" i="20"/>
  <c r="BH16" i="20"/>
  <c r="AV16" i="20"/>
  <c r="CF10" i="20"/>
  <c r="BN10" i="20"/>
  <c r="BH10" i="20"/>
  <c r="AV10" i="20"/>
  <c r="AP10" i="20"/>
  <c r="CL10" i="20"/>
  <c r="CF7" i="20"/>
  <c r="BN7" i="20"/>
  <c r="BH7" i="20"/>
  <c r="AV7" i="20"/>
  <c r="CL7" i="20"/>
  <c r="AP7" i="20"/>
  <c r="CL8" i="20"/>
  <c r="AP8" i="20"/>
  <c r="CF8" i="20"/>
  <c r="BN8" i="20"/>
  <c r="BH8" i="20"/>
  <c r="AV8" i="20"/>
  <c r="AS10" i="20"/>
  <c r="CI10" i="20"/>
  <c r="BQ10" i="20"/>
  <c r="BK10" i="20"/>
  <c r="AY10" i="20"/>
  <c r="CO10" i="20"/>
  <c r="AP15" i="20"/>
  <c r="CL15" i="20"/>
  <c r="CF15" i="20"/>
  <c r="BN15" i="20"/>
  <c r="BH15" i="20"/>
  <c r="AV15" i="20"/>
  <c r="CI7" i="20"/>
  <c r="CO7" i="20"/>
  <c r="BK7" i="20"/>
  <c r="AY7" i="20"/>
  <c r="AS7" i="20"/>
  <c r="BQ7" i="20"/>
  <c r="CI9" i="20"/>
  <c r="BQ9" i="20"/>
  <c r="BK9" i="20"/>
  <c r="AY9" i="20"/>
  <c r="AS9" i="20"/>
  <c r="CO9" i="20"/>
  <c r="AP11" i="20"/>
  <c r="CL11" i="20"/>
  <c r="CF11" i="20"/>
  <c r="BN11" i="20"/>
  <c r="BH11" i="20"/>
  <c r="AV11" i="20"/>
  <c r="CO12" i="20"/>
  <c r="BK12" i="20"/>
  <c r="AY12" i="20"/>
  <c r="AS12" i="20"/>
  <c r="BQ12" i="20"/>
  <c r="CI12" i="20"/>
  <c r="CF14" i="20"/>
  <c r="BN14" i="20"/>
  <c r="BH14" i="20"/>
  <c r="AV14" i="20"/>
  <c r="CL14" i="20"/>
  <c r="AP14" i="20"/>
  <c r="CI16" i="20"/>
  <c r="BQ16" i="20"/>
  <c r="BK16" i="20"/>
  <c r="CO16" i="20"/>
  <c r="AS16" i="20"/>
  <c r="AY16" i="20"/>
  <c r="CO8" i="20"/>
  <c r="CI8" i="20"/>
  <c r="BQ8" i="20"/>
  <c r="AS8" i="20"/>
  <c r="BK8" i="20"/>
  <c r="AY8" i="20"/>
  <c r="CL13" i="20"/>
  <c r="CF13" i="20"/>
  <c r="BN13" i="20"/>
  <c r="AP13" i="20"/>
  <c r="BH13" i="20"/>
  <c r="AV13" i="20"/>
  <c r="CO15" i="20"/>
  <c r="AS15" i="20"/>
  <c r="CI15" i="20"/>
  <c r="BQ15" i="20"/>
  <c r="BK15" i="20"/>
  <c r="AY15" i="20"/>
  <c r="W17" i="20"/>
  <c r="CL12" i="20"/>
  <c r="AP12" i="20"/>
  <c r="CF12" i="20"/>
  <c r="BN12" i="20"/>
  <c r="BH12" i="20"/>
  <c r="AV12" i="20"/>
  <c r="AS14" i="20"/>
  <c r="CI14" i="20"/>
  <c r="BQ14" i="20"/>
  <c r="BK14" i="20"/>
  <c r="AY14" i="20"/>
  <c r="CO14" i="20"/>
  <c r="Z17" i="20"/>
  <c r="S21" i="18"/>
  <c r="AV7" i="18"/>
  <c r="BE7" i="18"/>
  <c r="T21" i="18"/>
  <c r="T23" i="18" s="1"/>
  <c r="AU14" i="18"/>
  <c r="AF10" i="18"/>
  <c r="AV17" i="18"/>
  <c r="AG18" i="18"/>
  <c r="AF14" i="18"/>
  <c r="AU18" i="18"/>
  <c r="BE14" i="18"/>
  <c r="AV18" i="18"/>
  <c r="BD14" i="18"/>
  <c r="BE17" i="18"/>
  <c r="AG7" i="18"/>
  <c r="AG14" i="18"/>
  <c r="AF17" i="18"/>
  <c r="AU7" i="18"/>
  <c r="AV14" i="18"/>
  <c r="AU17" i="18"/>
  <c r="BE10" i="18"/>
  <c r="BE20" i="18"/>
  <c r="BE16" i="18"/>
  <c r="AF8" i="18"/>
  <c r="AG20" i="18"/>
  <c r="AG16" i="18"/>
  <c r="AV10" i="18"/>
  <c r="AV20" i="18"/>
  <c r="AV16" i="18"/>
  <c r="BD10" i="18"/>
  <c r="BD20" i="18"/>
  <c r="BD16" i="18"/>
  <c r="AG8" i="18"/>
  <c r="AF20" i="18"/>
  <c r="AF16" i="18"/>
  <c r="AU10" i="18"/>
  <c r="AU20" i="18"/>
  <c r="AU16" i="18"/>
  <c r="BE9" i="18"/>
  <c r="BE19" i="18"/>
  <c r="BE15" i="18"/>
  <c r="AF9" i="18"/>
  <c r="AG19" i="18"/>
  <c r="AG15" i="18"/>
  <c r="AV9" i="18"/>
  <c r="AV19" i="18"/>
  <c r="AV15" i="18"/>
  <c r="BD9" i="18"/>
  <c r="BD19" i="18"/>
  <c r="BD15" i="18"/>
  <c r="AG9" i="18"/>
  <c r="AF19" i="18"/>
  <c r="AF15" i="18"/>
  <c r="AV8" i="18"/>
  <c r="AU19" i="18"/>
  <c r="AU15" i="18"/>
  <c r="BE8" i="18"/>
  <c r="BE18" i="18"/>
  <c r="AU8" i="18"/>
  <c r="AU9" i="18"/>
  <c r="BD8" i="18"/>
  <c r="BD18" i="18"/>
  <c r="BD7" i="18"/>
  <c r="J11" i="18"/>
  <c r="J23" i="18" s="1"/>
  <c r="I11" i="18"/>
  <c r="H11" i="18"/>
  <c r="H23" i="18" l="1"/>
  <c r="W46" i="20"/>
  <c r="K25" i="28" s="1"/>
  <c r="AY17" i="20"/>
  <c r="S23" i="18"/>
  <c r="N24" i="28" s="1"/>
  <c r="N38" i="28" s="1"/>
  <c r="P38" i="28" s="1"/>
  <c r="K23" i="18"/>
  <c r="I23" i="18"/>
  <c r="Z46" i="20"/>
  <c r="L25" i="28" s="1"/>
  <c r="L39" i="28" s="1"/>
  <c r="AF11" i="18"/>
  <c r="AY44" i="20"/>
  <c r="BK44" i="20"/>
  <c r="AV44" i="20"/>
  <c r="BQ44" i="20"/>
  <c r="AP44" i="20"/>
  <c r="BH44" i="20"/>
  <c r="BN44" i="20"/>
  <c r="CI44" i="20"/>
  <c r="CL44" i="20"/>
  <c r="CO44" i="20"/>
  <c r="CF44" i="20"/>
  <c r="AS44" i="20"/>
  <c r="BN17" i="20"/>
  <c r="CI17" i="20"/>
  <c r="BQ17" i="20"/>
  <c r="CF17" i="20"/>
  <c r="AS17" i="20"/>
  <c r="AP17" i="20"/>
  <c r="CL17" i="20"/>
  <c r="BK17" i="20"/>
  <c r="AV17" i="20"/>
  <c r="CO17" i="20"/>
  <c r="BH17" i="20"/>
  <c r="AU21" i="18"/>
  <c r="BE11" i="18"/>
  <c r="AV21" i="18"/>
  <c r="AG11" i="18"/>
  <c r="BD11" i="18"/>
  <c r="AF21" i="18"/>
  <c r="BD21" i="18"/>
  <c r="AU11" i="18"/>
  <c r="BE21" i="18"/>
  <c r="AV11" i="18"/>
  <c r="AG21" i="18"/>
  <c r="Q24" i="28" l="1"/>
  <c r="Q25" i="28"/>
  <c r="K39" i="28"/>
  <c r="P39" i="28" s="1"/>
  <c r="AU23" i="18"/>
  <c r="AU24" i="18" s="1"/>
  <c r="AU25" i="18" s="1"/>
  <c r="CF46" i="20"/>
  <c r="CF47" i="20" s="1"/>
  <c r="CF48" i="20" s="1"/>
  <c r="AF23" i="18"/>
  <c r="AF24" i="18" s="1"/>
  <c r="AF25" i="18" s="1"/>
  <c r="CO46" i="20"/>
  <c r="CO47" i="20" s="1"/>
  <c r="CO48" i="20" s="1"/>
  <c r="BQ46" i="20"/>
  <c r="BQ47" i="20" s="1"/>
  <c r="BQ48" i="20" s="1"/>
  <c r="BK46" i="20"/>
  <c r="BK47" i="20" s="1"/>
  <c r="BK48" i="20" s="1"/>
  <c r="BE23" i="18"/>
  <c r="BE24" i="18" s="1"/>
  <c r="BE25" i="18" s="1"/>
  <c r="AV46" i="20"/>
  <c r="AV47" i="20" s="1"/>
  <c r="AV48" i="20" s="1"/>
  <c r="AS46" i="20"/>
  <c r="AS47" i="20" s="1"/>
  <c r="AS48" i="20" s="1"/>
  <c r="BH46" i="20"/>
  <c r="BH47" i="20" s="1"/>
  <c r="BH48" i="20" s="1"/>
  <c r="AY46" i="20"/>
  <c r="AY47" i="20" s="1"/>
  <c r="AY48" i="20" s="1"/>
  <c r="CI46" i="20"/>
  <c r="CI47" i="20" s="1"/>
  <c r="CI48" i="20" s="1"/>
  <c r="BN46" i="20"/>
  <c r="CL46" i="20"/>
  <c r="AP46" i="20"/>
  <c r="AP47" i="20" s="1"/>
  <c r="AP48" i="20" s="1"/>
  <c r="AV23" i="18"/>
  <c r="AV24" i="18" s="1"/>
  <c r="AV25" i="18" s="1"/>
  <c r="BD23" i="18"/>
  <c r="AG23" i="18"/>
  <c r="AG24" i="18" s="1"/>
  <c r="AG25" i="18" s="1"/>
  <c r="BD24" i="18" l="1"/>
  <c r="BD25" i="18" s="1"/>
  <c r="J13" i="21"/>
  <c r="K13" i="21"/>
  <c r="BN47" i="20"/>
  <c r="BN48" i="20" s="1"/>
  <c r="K17" i="21"/>
  <c r="CL47" i="20"/>
  <c r="CL48" i="20" s="1"/>
  <c r="K10" i="21"/>
  <c r="J12" i="21"/>
  <c r="K12" i="21"/>
  <c r="K16" i="21"/>
  <c r="K9" i="21"/>
  <c r="J9" i="21"/>
  <c r="J19" i="21" l="1"/>
  <c r="K19" i="21"/>
  <c r="K35" i="21"/>
  <c r="K49" i="21"/>
  <c r="K45" i="21"/>
  <c r="J35" i="21"/>
  <c r="K43" i="21"/>
  <c r="K46" i="21"/>
  <c r="K50" i="21"/>
  <c r="K42" i="21"/>
  <c r="AI17" i="3"/>
  <c r="AI18" i="3" s="1"/>
  <c r="AJ17" i="3"/>
  <c r="AJ18" i="3" s="1"/>
  <c r="J51" i="21" l="1"/>
  <c r="K51" i="21"/>
  <c r="CJ96" i="15"/>
  <c r="CJ21" i="15"/>
  <c r="BM21" i="15"/>
  <c r="BN21" i="15"/>
  <c r="BO21" i="15"/>
  <c r="BP21" i="15"/>
  <c r="BQ21" i="15"/>
  <c r="BR21" i="15"/>
  <c r="BS21" i="15"/>
  <c r="BT21" i="15"/>
  <c r="BU21" i="15"/>
  <c r="BV21" i="15"/>
  <c r="BW21" i="15"/>
  <c r="BX21" i="15"/>
  <c r="BY21" i="15"/>
  <c r="BZ21" i="15"/>
  <c r="CA21" i="15"/>
  <c r="CB21" i="15"/>
  <c r="CC21" i="15"/>
  <c r="CD21" i="15"/>
  <c r="BM96" i="15"/>
  <c r="BN96" i="15"/>
  <c r="BO96" i="15"/>
  <c r="BP96" i="15"/>
  <c r="BQ96" i="15"/>
  <c r="BR96" i="15"/>
  <c r="BS96" i="15"/>
  <c r="BT96" i="15"/>
  <c r="BU96" i="15"/>
  <c r="BV96" i="15"/>
  <c r="BW96" i="15"/>
  <c r="BX96" i="15"/>
  <c r="BY96" i="15"/>
  <c r="BZ96" i="15"/>
  <c r="CA96" i="15"/>
  <c r="CB96" i="15"/>
  <c r="CC96" i="15"/>
  <c r="CD96" i="15"/>
  <c r="BA96" i="15"/>
  <c r="BB96" i="15"/>
  <c r="BC96" i="15"/>
  <c r="BD96" i="15"/>
  <c r="BE96" i="15"/>
  <c r="BF96" i="15"/>
  <c r="AZ21" i="15"/>
  <c r="BA21" i="15"/>
  <c r="BB21" i="15"/>
  <c r="BC21" i="15"/>
  <c r="BD21" i="15"/>
  <c r="BE21" i="15"/>
  <c r="BF21" i="15"/>
  <c r="AI96" i="15"/>
  <c r="AI98" i="15" s="1"/>
  <c r="AJ96" i="15"/>
  <c r="AJ98" i="15" s="1"/>
  <c r="AK96" i="15"/>
  <c r="AK98" i="15" s="1"/>
  <c r="AL96" i="15"/>
  <c r="AL98" i="15" s="1"/>
  <c r="AM96" i="15"/>
  <c r="AM98" i="15" s="1"/>
  <c r="AN96" i="15"/>
  <c r="AN98" i="15" s="1"/>
  <c r="AD7" i="15"/>
  <c r="AE7" i="15"/>
  <c r="AF7" i="15"/>
  <c r="AG7" i="15"/>
  <c r="AD8" i="15"/>
  <c r="AE8" i="15"/>
  <c r="AW85" i="15" s="1"/>
  <c r="AF8" i="15"/>
  <c r="AX7" i="15" s="1"/>
  <c r="AG8" i="15"/>
  <c r="AY7" i="15" s="1"/>
  <c r="AD9" i="15"/>
  <c r="AE9" i="15"/>
  <c r="AF9" i="15"/>
  <c r="BJ94" i="15" s="1"/>
  <c r="AG9" i="15"/>
  <c r="AD10" i="15"/>
  <c r="AE10" i="15"/>
  <c r="AF10" i="15"/>
  <c r="AG10" i="15"/>
  <c r="AD11" i="15"/>
  <c r="AE11" i="15"/>
  <c r="AF11" i="15"/>
  <c r="AG11" i="15"/>
  <c r="AC7" i="15"/>
  <c r="AC8" i="15"/>
  <c r="AC9" i="15"/>
  <c r="AC10" i="15"/>
  <c r="AC11" i="15"/>
  <c r="V11" i="15"/>
  <c r="W11" i="15"/>
  <c r="V12" i="15"/>
  <c r="W12" i="15"/>
  <c r="W24" i="15"/>
  <c r="W96" i="15" s="1"/>
  <c r="V24" i="15"/>
  <c r="W7" i="15"/>
  <c r="Y21" i="15"/>
  <c r="Z21" i="15"/>
  <c r="W8" i="15"/>
  <c r="X21" i="15"/>
  <c r="W9" i="15"/>
  <c r="W10" i="15"/>
  <c r="W13" i="15"/>
  <c r="W14" i="15"/>
  <c r="W15" i="15"/>
  <c r="W16" i="15"/>
  <c r="W17" i="15"/>
  <c r="W18" i="15"/>
  <c r="W19" i="15"/>
  <c r="W20" i="15"/>
  <c r="V8" i="15"/>
  <c r="V9" i="15"/>
  <c r="V10" i="15"/>
  <c r="V13" i="15"/>
  <c r="V14" i="15"/>
  <c r="V15" i="15"/>
  <c r="V16" i="15"/>
  <c r="V17" i="15"/>
  <c r="V18" i="15"/>
  <c r="V19" i="15"/>
  <c r="V20" i="15"/>
  <c r="V7" i="15"/>
  <c r="AV8" i="15" l="1"/>
  <c r="AO7" i="15"/>
  <c r="AA19" i="15"/>
  <c r="AA9" i="15"/>
  <c r="AA7" i="15"/>
  <c r="AA88" i="15"/>
  <c r="AA85" i="15"/>
  <c r="AA82" i="15"/>
  <c r="AA78" i="15"/>
  <c r="AA74" i="15"/>
  <c r="AA70" i="15"/>
  <c r="AA66" i="15"/>
  <c r="AA62" i="15"/>
  <c r="AA58" i="15"/>
  <c r="AA8" i="15"/>
  <c r="AA17" i="15"/>
  <c r="AA92" i="15"/>
  <c r="AA13" i="15"/>
  <c r="AA94" i="15"/>
  <c r="AA90" i="15"/>
  <c r="AA12" i="15"/>
  <c r="AA84" i="15"/>
  <c r="AA80" i="15"/>
  <c r="AA76" i="15"/>
  <c r="AA72" i="15"/>
  <c r="AA68" i="15"/>
  <c r="AA64" i="15"/>
  <c r="AA60" i="15"/>
  <c r="AA56" i="15"/>
  <c r="AA52" i="15"/>
  <c r="AA48" i="15"/>
  <c r="AA44" i="15"/>
  <c r="AA40" i="15"/>
  <c r="AA36" i="15"/>
  <c r="AA32" i="15"/>
  <c r="AA54" i="15"/>
  <c r="AA50" i="15"/>
  <c r="AA46" i="15"/>
  <c r="AA42" i="15"/>
  <c r="AA38" i="15"/>
  <c r="AA34" i="15"/>
  <c r="AA30" i="15"/>
  <c r="AA26" i="15"/>
  <c r="AA91" i="15"/>
  <c r="AA11" i="15"/>
  <c r="AA77" i="15"/>
  <c r="AA73" i="15"/>
  <c r="AA65" i="15"/>
  <c r="AA61" i="15"/>
  <c r="AA57" i="15"/>
  <c r="AA53" i="15"/>
  <c r="AA49" i="15"/>
  <c r="AA45" i="15"/>
  <c r="AA41" i="15"/>
  <c r="AA37" i="15"/>
  <c r="AA33" i="15"/>
  <c r="AA95" i="15"/>
  <c r="AA87" i="15"/>
  <c r="AA81" i="15"/>
  <c r="AA69" i="15"/>
  <c r="AA86" i="15"/>
  <c r="AA79" i="15"/>
  <c r="AA67" i="15"/>
  <c r="AA59" i="15"/>
  <c r="AA55" i="15"/>
  <c r="AA47" i="15"/>
  <c r="AA43" i="15"/>
  <c r="AA39" i="15"/>
  <c r="AA35" i="15"/>
  <c r="AA31" i="15"/>
  <c r="AA27" i="15"/>
  <c r="AA93" i="15"/>
  <c r="AA89" i="15"/>
  <c r="AA83" i="15"/>
  <c r="AA75" i="15"/>
  <c r="AA71" i="15"/>
  <c r="AA63" i="15"/>
  <c r="AA51" i="15"/>
  <c r="AA29" i="15"/>
  <c r="AA15" i="15"/>
  <c r="AA20" i="15"/>
  <c r="AA10" i="15"/>
  <c r="AA18" i="15"/>
  <c r="AA24" i="15"/>
  <c r="AA16" i="15"/>
  <c r="AA25" i="15"/>
  <c r="AA14" i="15"/>
  <c r="AA28" i="15"/>
  <c r="AE21" i="15"/>
  <c r="AC21" i="15"/>
  <c r="AG21" i="15"/>
  <c r="BM98" i="15"/>
  <c r="AQ14" i="15"/>
  <c r="AR29" i="15"/>
  <c r="AF21" i="15"/>
  <c r="AQ10" i="15"/>
  <c r="AD21" i="15"/>
  <c r="CJ98" i="15"/>
  <c r="BR98" i="15"/>
  <c r="BW98" i="15"/>
  <c r="BO98" i="15"/>
  <c r="CB98" i="15"/>
  <c r="BT98" i="15"/>
  <c r="BU98" i="15"/>
  <c r="BZ98" i="15"/>
  <c r="CC98" i="15"/>
  <c r="BY98" i="15"/>
  <c r="BQ98" i="15"/>
  <c r="BD98" i="15"/>
  <c r="BF98" i="15"/>
  <c r="BE98" i="15"/>
  <c r="AU48" i="15"/>
  <c r="BC98" i="15"/>
  <c r="BB98" i="15"/>
  <c r="CD98" i="15"/>
  <c r="BV98" i="15"/>
  <c r="BN98" i="15"/>
  <c r="BA98" i="15"/>
  <c r="CA98" i="15"/>
  <c r="BS98" i="15"/>
  <c r="BI90" i="15"/>
  <c r="AQ42" i="15"/>
  <c r="W21" i="15"/>
  <c r="AY76" i="15"/>
  <c r="BX98" i="15"/>
  <c r="BP98" i="15"/>
  <c r="AP32" i="15"/>
  <c r="AX49" i="15"/>
  <c r="X98" i="15"/>
  <c r="AO46" i="15"/>
  <c r="AV43" i="15"/>
  <c r="V21" i="15"/>
  <c r="BK54" i="15"/>
  <c r="AS29" i="15"/>
  <c r="AQ89" i="15"/>
  <c r="AQ84" i="15"/>
  <c r="AS78" i="15"/>
  <c r="AQ72" i="15"/>
  <c r="AO66" i="15"/>
  <c r="AO58" i="15"/>
  <c r="AP49" i="15"/>
  <c r="AO25" i="15"/>
  <c r="AU64" i="15"/>
  <c r="AS7" i="15"/>
  <c r="AS88" i="15"/>
  <c r="AR83" i="15"/>
  <c r="AR78" i="15"/>
  <c r="AR71" i="15"/>
  <c r="AS65" i="15"/>
  <c r="AQ56" i="15"/>
  <c r="AQ48" i="15"/>
  <c r="AV51" i="15"/>
  <c r="AO24" i="15"/>
  <c r="AO88" i="15"/>
  <c r="AQ83" i="15"/>
  <c r="AQ76" i="15"/>
  <c r="AS70" i="15"/>
  <c r="AQ64" i="15"/>
  <c r="AR55" i="15"/>
  <c r="AS46" i="15"/>
  <c r="AW38" i="15"/>
  <c r="AS24" i="15"/>
  <c r="AR93" i="15"/>
  <c r="AS87" i="15"/>
  <c r="AS82" i="15"/>
  <c r="AR75" i="15"/>
  <c r="AR70" i="15"/>
  <c r="AR63" i="15"/>
  <c r="AS54" i="15"/>
  <c r="AR43" i="15"/>
  <c r="AY19" i="15"/>
  <c r="AX25" i="15"/>
  <c r="AQ94" i="15"/>
  <c r="AS92" i="15"/>
  <c r="AQ12" i="15"/>
  <c r="AO82" i="15"/>
  <c r="AQ75" i="15"/>
  <c r="AQ68" i="15"/>
  <c r="AS62" i="15"/>
  <c r="AQ52" i="15"/>
  <c r="AO42" i="15"/>
  <c r="AU16" i="15"/>
  <c r="AR92" i="15"/>
  <c r="AR86" i="15"/>
  <c r="AS81" i="15"/>
  <c r="AS74" i="15"/>
  <c r="AR67" i="15"/>
  <c r="AQ60" i="15"/>
  <c r="AR51" i="15"/>
  <c r="AQ40" i="15"/>
  <c r="AX24" i="15"/>
  <c r="AQ90" i="15"/>
  <c r="AS85" i="15"/>
  <c r="AQ80" i="15"/>
  <c r="AO74" i="15"/>
  <c r="AQ67" i="15"/>
  <c r="AR59" i="15"/>
  <c r="AS50" i="15"/>
  <c r="AQ38" i="15"/>
  <c r="AX87" i="15"/>
  <c r="AR89" i="15"/>
  <c r="AR85" i="15"/>
  <c r="AR79" i="15"/>
  <c r="AS73" i="15"/>
  <c r="AS66" i="15"/>
  <c r="AS58" i="15"/>
  <c r="AO50" i="15"/>
  <c r="AQ31" i="15"/>
  <c r="CK28" i="15"/>
  <c r="CK36" i="15"/>
  <c r="CK44" i="15"/>
  <c r="CK52" i="15"/>
  <c r="CK60" i="15"/>
  <c r="CK68" i="15"/>
  <c r="CK76" i="15"/>
  <c r="CK84" i="15"/>
  <c r="CK90" i="15"/>
  <c r="CK94" i="15"/>
  <c r="CK8" i="15"/>
  <c r="CK18" i="15"/>
  <c r="CK25" i="15"/>
  <c r="CK33" i="15"/>
  <c r="CK41" i="15"/>
  <c r="CK49" i="15"/>
  <c r="CK57" i="15"/>
  <c r="CK65" i="15"/>
  <c r="CK73" i="15"/>
  <c r="CK81" i="15"/>
  <c r="CK87" i="15"/>
  <c r="CK15" i="15"/>
  <c r="CK30" i="15"/>
  <c r="CK38" i="15"/>
  <c r="CK46" i="15"/>
  <c r="CK54" i="15"/>
  <c r="CK62" i="15"/>
  <c r="CK70" i="15"/>
  <c r="CK78" i="15"/>
  <c r="CK85" i="15"/>
  <c r="CK92" i="15"/>
  <c r="CK24" i="15"/>
  <c r="CK10" i="15"/>
  <c r="CK20" i="15"/>
  <c r="CK27" i="15"/>
  <c r="CK35" i="15"/>
  <c r="CK43" i="15"/>
  <c r="CK51" i="15"/>
  <c r="CK59" i="15"/>
  <c r="CK67" i="15"/>
  <c r="CK75" i="15"/>
  <c r="CK83" i="15"/>
  <c r="CK89" i="15"/>
  <c r="CK17" i="15"/>
  <c r="CK7" i="15"/>
  <c r="CK32" i="15"/>
  <c r="CK40" i="15"/>
  <c r="CK48" i="15"/>
  <c r="CK56" i="15"/>
  <c r="CK64" i="15"/>
  <c r="CK72" i="15"/>
  <c r="CK80" i="15"/>
  <c r="CK12" i="15"/>
  <c r="CK14" i="15"/>
  <c r="CK29" i="15"/>
  <c r="CK37" i="15"/>
  <c r="CK45" i="15"/>
  <c r="CK53" i="15"/>
  <c r="CK61" i="15"/>
  <c r="CK69" i="15"/>
  <c r="CK77" i="15"/>
  <c r="CK11" i="15"/>
  <c r="CK91" i="15"/>
  <c r="CK95" i="15"/>
  <c r="CK9" i="15"/>
  <c r="CK19" i="15"/>
  <c r="CK26" i="15"/>
  <c r="CK34" i="15"/>
  <c r="CK42" i="15"/>
  <c r="CK50" i="15"/>
  <c r="CK58" i="15"/>
  <c r="CK66" i="15"/>
  <c r="CK74" i="15"/>
  <c r="CK82" i="15"/>
  <c r="CK88" i="15"/>
  <c r="CK16" i="15"/>
  <c r="CK31" i="15"/>
  <c r="CK39" i="15"/>
  <c r="CK47" i="15"/>
  <c r="CK55" i="15"/>
  <c r="CK63" i="15"/>
  <c r="CK71" i="15"/>
  <c r="CK79" i="15"/>
  <c r="CK86" i="15"/>
  <c r="CK93" i="15"/>
  <c r="CK13" i="15"/>
  <c r="AP77" i="15"/>
  <c r="AP53" i="15"/>
  <c r="AP45" i="15"/>
  <c r="AP36" i="15"/>
  <c r="AP28" i="15"/>
  <c r="CE32" i="15"/>
  <c r="CE40" i="15"/>
  <c r="CE48" i="15"/>
  <c r="CE56" i="15"/>
  <c r="CE64" i="15"/>
  <c r="CE29" i="15"/>
  <c r="CE37" i="15"/>
  <c r="CE45" i="15"/>
  <c r="CE53" i="15"/>
  <c r="CE61" i="15"/>
  <c r="CE26" i="15"/>
  <c r="CE34" i="15"/>
  <c r="CE42" i="15"/>
  <c r="CE50" i="15"/>
  <c r="CE58" i="15"/>
  <c r="CE66" i="15"/>
  <c r="CE31" i="15"/>
  <c r="CE39" i="15"/>
  <c r="CE47" i="15"/>
  <c r="CE55" i="15"/>
  <c r="CE63" i="15"/>
  <c r="CE28" i="15"/>
  <c r="CE36" i="15"/>
  <c r="CE44" i="15"/>
  <c r="CE52" i="15"/>
  <c r="CE60" i="15"/>
  <c r="CE68" i="15"/>
  <c r="CE25" i="15"/>
  <c r="CE33" i="15"/>
  <c r="CE41" i="15"/>
  <c r="CE49" i="15"/>
  <c r="CE57" i="15"/>
  <c r="CE65" i="15"/>
  <c r="CE30" i="15"/>
  <c r="CE38" i="15"/>
  <c r="CE46" i="15"/>
  <c r="CE27" i="15"/>
  <c r="CE35" i="15"/>
  <c r="CE43" i="15"/>
  <c r="CE51" i="15"/>
  <c r="CE76" i="15"/>
  <c r="CE84" i="15"/>
  <c r="CE90" i="15"/>
  <c r="CE94" i="15"/>
  <c r="CE15" i="15"/>
  <c r="CE73" i="15"/>
  <c r="CE81" i="15"/>
  <c r="CE87" i="15"/>
  <c r="CE10" i="15"/>
  <c r="CE20" i="15"/>
  <c r="CE59" i="15"/>
  <c r="CE70" i="15"/>
  <c r="CE75" i="15"/>
  <c r="CE83" i="15"/>
  <c r="CE89" i="15"/>
  <c r="CE14" i="15"/>
  <c r="CE72" i="15"/>
  <c r="CE80" i="15"/>
  <c r="CE12" i="15"/>
  <c r="CE9" i="15"/>
  <c r="CE19" i="15"/>
  <c r="CE54" i="15"/>
  <c r="CE77" i="15"/>
  <c r="CE11" i="15"/>
  <c r="CE91" i="15"/>
  <c r="CE95" i="15"/>
  <c r="CE16" i="15"/>
  <c r="CE62" i="15"/>
  <c r="CE67" i="15"/>
  <c r="CE74" i="15"/>
  <c r="CE82" i="15"/>
  <c r="CE88" i="15"/>
  <c r="CE24" i="15"/>
  <c r="CE13" i="15"/>
  <c r="CE71" i="15"/>
  <c r="CE79" i="15"/>
  <c r="CE86" i="15"/>
  <c r="CE93" i="15"/>
  <c r="CE8" i="15"/>
  <c r="CE18" i="15"/>
  <c r="CE7" i="15"/>
  <c r="CE78" i="15"/>
  <c r="CE92" i="15"/>
  <c r="CE69" i="15"/>
  <c r="CE85" i="15"/>
  <c r="AY30" i="15"/>
  <c r="AY38" i="15"/>
  <c r="AY46" i="15"/>
  <c r="AY54" i="15"/>
  <c r="AY62" i="15"/>
  <c r="AY70" i="15"/>
  <c r="AY78" i="15"/>
  <c r="AY85" i="15"/>
  <c r="AY92" i="15"/>
  <c r="AY17" i="15"/>
  <c r="AY27" i="15"/>
  <c r="AY35" i="15"/>
  <c r="AY43" i="15"/>
  <c r="AY51" i="15"/>
  <c r="AY59" i="15"/>
  <c r="AY67" i="15"/>
  <c r="AY75" i="15"/>
  <c r="AY83" i="15"/>
  <c r="AY89" i="15"/>
  <c r="AY14" i="15"/>
  <c r="AY32" i="15"/>
  <c r="AY40" i="15"/>
  <c r="AY48" i="15"/>
  <c r="AY56" i="15"/>
  <c r="AY64" i="15"/>
  <c r="AY72" i="15"/>
  <c r="AY80" i="15"/>
  <c r="AY12" i="15"/>
  <c r="AY9" i="15"/>
  <c r="AY29" i="15"/>
  <c r="AY37" i="15"/>
  <c r="AY45" i="15"/>
  <c r="AY53" i="15"/>
  <c r="AY61" i="15"/>
  <c r="AY69" i="15"/>
  <c r="AY77" i="15"/>
  <c r="AY11" i="15"/>
  <c r="AY91" i="15"/>
  <c r="AY95" i="15"/>
  <c r="AY26" i="15"/>
  <c r="AY34" i="15"/>
  <c r="AY42" i="15"/>
  <c r="AY50" i="15"/>
  <c r="AY58" i="15"/>
  <c r="AY66" i="15"/>
  <c r="AY74" i="15"/>
  <c r="AY82" i="15"/>
  <c r="AY88" i="15"/>
  <c r="AY13" i="15"/>
  <c r="AY31" i="15"/>
  <c r="AY39" i="15"/>
  <c r="AY47" i="15"/>
  <c r="AY55" i="15"/>
  <c r="AY63" i="15"/>
  <c r="AY71" i="15"/>
  <c r="AY79" i="15"/>
  <c r="AY86" i="15"/>
  <c r="AY93" i="15"/>
  <c r="AY24" i="15"/>
  <c r="AY8" i="15"/>
  <c r="AY18" i="15"/>
  <c r="AY25" i="15"/>
  <c r="AY33" i="15"/>
  <c r="AY41" i="15"/>
  <c r="AY49" i="15"/>
  <c r="AY57" i="15"/>
  <c r="AY65" i="15"/>
  <c r="AY73" i="15"/>
  <c r="AY81" i="15"/>
  <c r="AY87" i="15"/>
  <c r="AY10" i="15"/>
  <c r="AP24" i="15"/>
  <c r="AO91" i="15"/>
  <c r="AP12" i="15"/>
  <c r="AP80" i="15"/>
  <c r="AO77" i="15"/>
  <c r="AP72" i="15"/>
  <c r="AO69" i="15"/>
  <c r="AP64" i="15"/>
  <c r="AR62" i="15"/>
  <c r="AO61" i="15"/>
  <c r="AQ59" i="15"/>
  <c r="AS57" i="15"/>
  <c r="AP56" i="15"/>
  <c r="AR54" i="15"/>
  <c r="AO53" i="15"/>
  <c r="AQ51" i="15"/>
  <c r="AS49" i="15"/>
  <c r="AP48" i="15"/>
  <c r="AR46" i="15"/>
  <c r="AO45" i="15"/>
  <c r="AQ43" i="15"/>
  <c r="AS41" i="15"/>
  <c r="AP40" i="15"/>
  <c r="AP38" i="15"/>
  <c r="AO36" i="15"/>
  <c r="AS33" i="15"/>
  <c r="AP31" i="15"/>
  <c r="AO28" i="15"/>
  <c r="AV19" i="15"/>
  <c r="AY15" i="15"/>
  <c r="AY94" i="15"/>
  <c r="AU12" i="15"/>
  <c r="AV75" i="15"/>
  <c r="AW62" i="15"/>
  <c r="AY36" i="15"/>
  <c r="BK7" i="15"/>
  <c r="BK74" i="15"/>
  <c r="CE17" i="15"/>
  <c r="BH27" i="15"/>
  <c r="BH35" i="15"/>
  <c r="BH43" i="15"/>
  <c r="BH51" i="15"/>
  <c r="BH59" i="15"/>
  <c r="BH67" i="15"/>
  <c r="BH75" i="15"/>
  <c r="BH83" i="15"/>
  <c r="BH89" i="15"/>
  <c r="BH9" i="15"/>
  <c r="BH32" i="15"/>
  <c r="BH40" i="15"/>
  <c r="BH48" i="15"/>
  <c r="BH56" i="15"/>
  <c r="BH64" i="15"/>
  <c r="BH72" i="15"/>
  <c r="BH80" i="15"/>
  <c r="BH12" i="15"/>
  <c r="BH24" i="15"/>
  <c r="BH16" i="15"/>
  <c r="BH26" i="15"/>
  <c r="BH34" i="15"/>
  <c r="BH42" i="15"/>
  <c r="BH50" i="15"/>
  <c r="BH58" i="15"/>
  <c r="BH66" i="15"/>
  <c r="BH74" i="15"/>
  <c r="BH82" i="15"/>
  <c r="BH88" i="15"/>
  <c r="BH8" i="15"/>
  <c r="BH18" i="15"/>
  <c r="BH31" i="15"/>
  <c r="BH39" i="15"/>
  <c r="BH47" i="15"/>
  <c r="BH55" i="15"/>
  <c r="BH63" i="15"/>
  <c r="BH71" i="15"/>
  <c r="BH79" i="15"/>
  <c r="BH86" i="15"/>
  <c r="BH93" i="15"/>
  <c r="BH15" i="15"/>
  <c r="BH28" i="15"/>
  <c r="BH36" i="15"/>
  <c r="BH44" i="15"/>
  <c r="BH52" i="15"/>
  <c r="BH60" i="15"/>
  <c r="BH68" i="15"/>
  <c r="BH76" i="15"/>
  <c r="BH84" i="15"/>
  <c r="BH90" i="15"/>
  <c r="BH94" i="15"/>
  <c r="BH10" i="15"/>
  <c r="BH25" i="15"/>
  <c r="BH33" i="15"/>
  <c r="BH41" i="15"/>
  <c r="BH49" i="15"/>
  <c r="BH30" i="15"/>
  <c r="BH38" i="15"/>
  <c r="BH46" i="15"/>
  <c r="BH54" i="15"/>
  <c r="BH62" i="15"/>
  <c r="BH70" i="15"/>
  <c r="BH78" i="15"/>
  <c r="BH85" i="15"/>
  <c r="BH45" i="15"/>
  <c r="BH57" i="15"/>
  <c r="BH87" i="15"/>
  <c r="BH91" i="15"/>
  <c r="BH13" i="15"/>
  <c r="BH77" i="15"/>
  <c r="BH7" i="15"/>
  <c r="BH65" i="15"/>
  <c r="BH92" i="15"/>
  <c r="BH14" i="15"/>
  <c r="BH20" i="15"/>
  <c r="BH37" i="15"/>
  <c r="BH11" i="15"/>
  <c r="BH73" i="15"/>
  <c r="BH53" i="15"/>
  <c r="BH61" i="15"/>
  <c r="BH19" i="15"/>
  <c r="BH69" i="15"/>
  <c r="BH95" i="15"/>
  <c r="BH17" i="15"/>
  <c r="AP69" i="15"/>
  <c r="BH81" i="15"/>
  <c r="AO95" i="15"/>
  <c r="AO11" i="15"/>
  <c r="BG32" i="15"/>
  <c r="BG40" i="15"/>
  <c r="BG48" i="15"/>
  <c r="BG56" i="15"/>
  <c r="BG64" i="15"/>
  <c r="BG72" i="15"/>
  <c r="BG80" i="15"/>
  <c r="BG12" i="15"/>
  <c r="BG16" i="15"/>
  <c r="BG29" i="15"/>
  <c r="BG37" i="15"/>
  <c r="BG45" i="15"/>
  <c r="BG53" i="15"/>
  <c r="BG61" i="15"/>
  <c r="BG69" i="15"/>
  <c r="BG77" i="15"/>
  <c r="BG11" i="15"/>
  <c r="BG91" i="15"/>
  <c r="BG95" i="15"/>
  <c r="BG13" i="15"/>
  <c r="BG31" i="15"/>
  <c r="BG39" i="15"/>
  <c r="BG47" i="15"/>
  <c r="BG55" i="15"/>
  <c r="BG63" i="15"/>
  <c r="BG71" i="15"/>
  <c r="BG79" i="15"/>
  <c r="BG86" i="15"/>
  <c r="BG93" i="15"/>
  <c r="BG15" i="15"/>
  <c r="BG28" i="15"/>
  <c r="BG36" i="15"/>
  <c r="BG44" i="15"/>
  <c r="BG52" i="15"/>
  <c r="BG60" i="15"/>
  <c r="BG68" i="15"/>
  <c r="BG76" i="15"/>
  <c r="BG84" i="15"/>
  <c r="BG90" i="15"/>
  <c r="BG94" i="15"/>
  <c r="BG10" i="15"/>
  <c r="BG25" i="15"/>
  <c r="BG33" i="15"/>
  <c r="BG41" i="15"/>
  <c r="BG49" i="15"/>
  <c r="BG57" i="15"/>
  <c r="BG65" i="15"/>
  <c r="BG73" i="15"/>
  <c r="BG81" i="15"/>
  <c r="BG87" i="15"/>
  <c r="BG17" i="15"/>
  <c r="BG30" i="15"/>
  <c r="BG38" i="15"/>
  <c r="BG46" i="15"/>
  <c r="BG54" i="15"/>
  <c r="BG27" i="15"/>
  <c r="BG35" i="15"/>
  <c r="BG43" i="15"/>
  <c r="BG51" i="15"/>
  <c r="BG59" i="15"/>
  <c r="BG67" i="15"/>
  <c r="BG75" i="15"/>
  <c r="BG83" i="15"/>
  <c r="BG70" i="15"/>
  <c r="BG34" i="15"/>
  <c r="BG58" i="15"/>
  <c r="BG92" i="15"/>
  <c r="BG14" i="15"/>
  <c r="BG18" i="15"/>
  <c r="BG20" i="15"/>
  <c r="BG78" i="15"/>
  <c r="BG88" i="15"/>
  <c r="BG24" i="15"/>
  <c r="BG8" i="15"/>
  <c r="BG7" i="15"/>
  <c r="BG50" i="15"/>
  <c r="BG66" i="15"/>
  <c r="BG26" i="15"/>
  <c r="BG85" i="15"/>
  <c r="BG89" i="15"/>
  <c r="BG9" i="15"/>
  <c r="BG19" i="15"/>
  <c r="BG74" i="15"/>
  <c r="BG82" i="15"/>
  <c r="CH25" i="15"/>
  <c r="CH33" i="15"/>
  <c r="CH41" i="15"/>
  <c r="CH49" i="15"/>
  <c r="CH57" i="15"/>
  <c r="CH65" i="15"/>
  <c r="CH30" i="15"/>
  <c r="CH38" i="15"/>
  <c r="CH46" i="15"/>
  <c r="CH54" i="15"/>
  <c r="CH62" i="15"/>
  <c r="CH27" i="15"/>
  <c r="CH35" i="15"/>
  <c r="CH43" i="15"/>
  <c r="CH51" i="15"/>
  <c r="CH59" i="15"/>
  <c r="CH67" i="15"/>
  <c r="CH32" i="15"/>
  <c r="CH40" i="15"/>
  <c r="CH48" i="15"/>
  <c r="CH56" i="15"/>
  <c r="CH64" i="15"/>
  <c r="CH29" i="15"/>
  <c r="CH37" i="15"/>
  <c r="CH45" i="15"/>
  <c r="CH53" i="15"/>
  <c r="CH61" i="15"/>
  <c r="CH69" i="15"/>
  <c r="CH26" i="15"/>
  <c r="CH34" i="15"/>
  <c r="CH42" i="15"/>
  <c r="CH50" i="15"/>
  <c r="CH58" i="15"/>
  <c r="CH66" i="15"/>
  <c r="CH31" i="15"/>
  <c r="CH39" i="15"/>
  <c r="CH47" i="15"/>
  <c r="CH28" i="15"/>
  <c r="CH36" i="15"/>
  <c r="CH44" i="15"/>
  <c r="CH52" i="15"/>
  <c r="CH63" i="15"/>
  <c r="CH77" i="15"/>
  <c r="CH11" i="15"/>
  <c r="CH91" i="15"/>
  <c r="CH95" i="15"/>
  <c r="CH16" i="15"/>
  <c r="CH68" i="15"/>
  <c r="CH74" i="15"/>
  <c r="CH82" i="15"/>
  <c r="CH88" i="15"/>
  <c r="CH13" i="15"/>
  <c r="CH76" i="15"/>
  <c r="CH84" i="15"/>
  <c r="CH90" i="15"/>
  <c r="CH94" i="15"/>
  <c r="CH24" i="15"/>
  <c r="CH15" i="15"/>
  <c r="CH73" i="15"/>
  <c r="CH81" i="15"/>
  <c r="CH87" i="15"/>
  <c r="CH10" i="15"/>
  <c r="CH20" i="15"/>
  <c r="CH60" i="15"/>
  <c r="CH70" i="15"/>
  <c r="CH78" i="15"/>
  <c r="CH85" i="15"/>
  <c r="CH92" i="15"/>
  <c r="CH17" i="15"/>
  <c r="CH55" i="15"/>
  <c r="CH75" i="15"/>
  <c r="CH83" i="15"/>
  <c r="CH89" i="15"/>
  <c r="CH14" i="15"/>
  <c r="CH72" i="15"/>
  <c r="CH80" i="15"/>
  <c r="CH12" i="15"/>
  <c r="CH9" i="15"/>
  <c r="CH19" i="15"/>
  <c r="CH7" i="15"/>
  <c r="CH86" i="15"/>
  <c r="CH8" i="15"/>
  <c r="CH79" i="15"/>
  <c r="CH93" i="15"/>
  <c r="CH18" i="15"/>
  <c r="AX27" i="15"/>
  <c r="AX35" i="15"/>
  <c r="AX43" i="15"/>
  <c r="AX51" i="15"/>
  <c r="AX59" i="15"/>
  <c r="AX67" i="15"/>
  <c r="AX75" i="15"/>
  <c r="AX83" i="15"/>
  <c r="AX89" i="15"/>
  <c r="AX14" i="15"/>
  <c r="AX32" i="15"/>
  <c r="AX40" i="15"/>
  <c r="AX48" i="15"/>
  <c r="AX56" i="15"/>
  <c r="AX64" i="15"/>
  <c r="AX72" i="15"/>
  <c r="AX80" i="15"/>
  <c r="AX12" i="15"/>
  <c r="AX9" i="15"/>
  <c r="AX19" i="15"/>
  <c r="AX29" i="15"/>
  <c r="AX37" i="15"/>
  <c r="AX45" i="15"/>
  <c r="AX53" i="15"/>
  <c r="AX61" i="15"/>
  <c r="AX69" i="15"/>
  <c r="AX77" i="15"/>
  <c r="AX11" i="15"/>
  <c r="AX91" i="15"/>
  <c r="AX95" i="15"/>
  <c r="AX16" i="15"/>
  <c r="AX26" i="15"/>
  <c r="AX34" i="15"/>
  <c r="AX42" i="15"/>
  <c r="AX50" i="15"/>
  <c r="AX58" i="15"/>
  <c r="AX66" i="15"/>
  <c r="AX74" i="15"/>
  <c r="AX82" i="15"/>
  <c r="AX88" i="15"/>
  <c r="AX31" i="15"/>
  <c r="AX39" i="15"/>
  <c r="AX47" i="15"/>
  <c r="AX55" i="15"/>
  <c r="AX63" i="15"/>
  <c r="AX71" i="15"/>
  <c r="AX79" i="15"/>
  <c r="AX86" i="15"/>
  <c r="AX93" i="15"/>
  <c r="AX8" i="15"/>
  <c r="AX18" i="15"/>
  <c r="AX28" i="15"/>
  <c r="AX36" i="15"/>
  <c r="AX44" i="15"/>
  <c r="AX52" i="15"/>
  <c r="AX60" i="15"/>
  <c r="AX68" i="15"/>
  <c r="AX76" i="15"/>
  <c r="AX84" i="15"/>
  <c r="AX90" i="15"/>
  <c r="AX94" i="15"/>
  <c r="AX15" i="15"/>
  <c r="AX30" i="15"/>
  <c r="AX38" i="15"/>
  <c r="AX46" i="15"/>
  <c r="AX54" i="15"/>
  <c r="AX62" i="15"/>
  <c r="AX70" i="15"/>
  <c r="AX78" i="15"/>
  <c r="AX85" i="15"/>
  <c r="AX92" i="15"/>
  <c r="AQ24" i="15"/>
  <c r="AS94" i="15"/>
  <c r="AQ92" i="15"/>
  <c r="AS90" i="15"/>
  <c r="AP89" i="15"/>
  <c r="AR87" i="15"/>
  <c r="AO12" i="15"/>
  <c r="AQ85" i="15"/>
  <c r="AS84" i="15"/>
  <c r="AP83" i="15"/>
  <c r="AR81" i="15"/>
  <c r="AO80" i="15"/>
  <c r="AQ78" i="15"/>
  <c r="AS76" i="15"/>
  <c r="AP75" i="15"/>
  <c r="AR73" i="15"/>
  <c r="AO72" i="15"/>
  <c r="AQ70" i="15"/>
  <c r="AS68" i="15"/>
  <c r="AP67" i="15"/>
  <c r="AR65" i="15"/>
  <c r="AO64" i="15"/>
  <c r="AQ62" i="15"/>
  <c r="AS60" i="15"/>
  <c r="AP59" i="15"/>
  <c r="AR57" i="15"/>
  <c r="AO56" i="15"/>
  <c r="AQ54" i="15"/>
  <c r="AS52" i="15"/>
  <c r="AP51" i="15"/>
  <c r="AR49" i="15"/>
  <c r="AO48" i="15"/>
  <c r="AQ46" i="15"/>
  <c r="AS44" i="15"/>
  <c r="AP43" i="15"/>
  <c r="AR41" i="15"/>
  <c r="AO40" i="15"/>
  <c r="AS37" i="15"/>
  <c r="AS35" i="15"/>
  <c r="AR33" i="15"/>
  <c r="AR30" i="15"/>
  <c r="AQ27" i="15"/>
  <c r="AU19" i="15"/>
  <c r="AV15" i="15"/>
  <c r="AX73" i="15"/>
  <c r="AY60" i="15"/>
  <c r="AV35" i="15"/>
  <c r="BI19" i="15"/>
  <c r="BI68" i="15"/>
  <c r="AP95" i="15"/>
  <c r="AP34" i="15"/>
  <c r="CI28" i="15"/>
  <c r="CI36" i="15"/>
  <c r="CI44" i="15"/>
  <c r="CI52" i="15"/>
  <c r="CI60" i="15"/>
  <c r="CI68" i="15"/>
  <c r="CI25" i="15"/>
  <c r="CI33" i="15"/>
  <c r="CI41" i="15"/>
  <c r="CI49" i="15"/>
  <c r="CI57" i="15"/>
  <c r="CI30" i="15"/>
  <c r="CI38" i="15"/>
  <c r="CI46" i="15"/>
  <c r="CI54" i="15"/>
  <c r="CI62" i="15"/>
  <c r="CI27" i="15"/>
  <c r="CI35" i="15"/>
  <c r="CI43" i="15"/>
  <c r="CI51" i="15"/>
  <c r="CI59" i="15"/>
  <c r="CI67" i="15"/>
  <c r="CI32" i="15"/>
  <c r="CI40" i="15"/>
  <c r="CI48" i="15"/>
  <c r="CI56" i="15"/>
  <c r="CI64" i="15"/>
  <c r="CI29" i="15"/>
  <c r="CI37" i="15"/>
  <c r="CI45" i="15"/>
  <c r="CI53" i="15"/>
  <c r="CI61" i="15"/>
  <c r="CI69" i="15"/>
  <c r="CI26" i="15"/>
  <c r="CI34" i="15"/>
  <c r="CI42" i="15"/>
  <c r="CI31" i="15"/>
  <c r="CI39" i="15"/>
  <c r="CI47" i="15"/>
  <c r="CI72" i="15"/>
  <c r="CI80" i="15"/>
  <c r="CI12" i="15"/>
  <c r="CI9" i="15"/>
  <c r="CI19" i="15"/>
  <c r="CI63" i="15"/>
  <c r="CI77" i="15"/>
  <c r="CI11" i="15"/>
  <c r="CI91" i="15"/>
  <c r="CI95" i="15"/>
  <c r="CI16" i="15"/>
  <c r="CI50" i="15"/>
  <c r="CI71" i="15"/>
  <c r="CI79" i="15"/>
  <c r="CI86" i="15"/>
  <c r="CI93" i="15"/>
  <c r="CI8" i="15"/>
  <c r="CI18" i="15"/>
  <c r="CI65" i="15"/>
  <c r="CI76" i="15"/>
  <c r="CI84" i="15"/>
  <c r="CI90" i="15"/>
  <c r="CI94" i="15"/>
  <c r="CI15" i="15"/>
  <c r="CI66" i="15"/>
  <c r="CI73" i="15"/>
  <c r="CI81" i="15"/>
  <c r="CI87" i="15"/>
  <c r="CI10" i="15"/>
  <c r="CI20" i="15"/>
  <c r="CI70" i="15"/>
  <c r="CI78" i="15"/>
  <c r="CI85" i="15"/>
  <c r="CI92" i="15"/>
  <c r="CI17" i="15"/>
  <c r="CI7" i="15"/>
  <c r="CI55" i="15"/>
  <c r="CI75" i="15"/>
  <c r="CI83" i="15"/>
  <c r="CI89" i="15"/>
  <c r="CI14" i="15"/>
  <c r="CI74" i="15"/>
  <c r="CI24" i="15"/>
  <c r="CI88" i="15"/>
  <c r="CI58" i="15"/>
  <c r="CI13" i="15"/>
  <c r="CI82" i="15"/>
  <c r="AU26" i="15"/>
  <c r="AU34" i="15"/>
  <c r="AU42" i="15"/>
  <c r="AU50" i="15"/>
  <c r="AU58" i="15"/>
  <c r="AU66" i="15"/>
  <c r="AU74" i="15"/>
  <c r="AU82" i="15"/>
  <c r="AU88" i="15"/>
  <c r="AU13" i="15"/>
  <c r="AU31" i="15"/>
  <c r="AU39" i="15"/>
  <c r="AU47" i="15"/>
  <c r="AU55" i="15"/>
  <c r="AU63" i="15"/>
  <c r="AU71" i="15"/>
  <c r="AU79" i="15"/>
  <c r="AU86" i="15"/>
  <c r="AU93" i="15"/>
  <c r="AU8" i="15"/>
  <c r="AU18" i="15"/>
  <c r="AU28" i="15"/>
  <c r="AU36" i="15"/>
  <c r="AU44" i="15"/>
  <c r="AU52" i="15"/>
  <c r="AU60" i="15"/>
  <c r="AU68" i="15"/>
  <c r="AU76" i="15"/>
  <c r="AU84" i="15"/>
  <c r="AU90" i="15"/>
  <c r="AU94" i="15"/>
  <c r="AU15" i="15"/>
  <c r="AU25" i="15"/>
  <c r="AU33" i="15"/>
  <c r="AU41" i="15"/>
  <c r="AU49" i="15"/>
  <c r="AU57" i="15"/>
  <c r="AU65" i="15"/>
  <c r="AU73" i="15"/>
  <c r="AU81" i="15"/>
  <c r="AU87" i="15"/>
  <c r="AU30" i="15"/>
  <c r="AU38" i="15"/>
  <c r="AU46" i="15"/>
  <c r="AU54" i="15"/>
  <c r="AU62" i="15"/>
  <c r="AU70" i="15"/>
  <c r="AU78" i="15"/>
  <c r="AU85" i="15"/>
  <c r="AU92" i="15"/>
  <c r="AU24" i="15"/>
  <c r="AU17" i="15"/>
  <c r="AU7" i="15"/>
  <c r="AU27" i="15"/>
  <c r="AU35" i="15"/>
  <c r="AU43" i="15"/>
  <c r="AU51" i="15"/>
  <c r="AU59" i="15"/>
  <c r="AU67" i="15"/>
  <c r="AU75" i="15"/>
  <c r="AU83" i="15"/>
  <c r="AU89" i="15"/>
  <c r="AU14" i="15"/>
  <c r="AU29" i="15"/>
  <c r="AU37" i="15"/>
  <c r="AU45" i="15"/>
  <c r="AU53" i="15"/>
  <c r="AU61" i="15"/>
  <c r="AU69" i="15"/>
  <c r="AU77" i="15"/>
  <c r="AU11" i="15"/>
  <c r="AU91" i="15"/>
  <c r="AU95" i="15"/>
  <c r="CG30" i="15"/>
  <c r="CG38" i="15"/>
  <c r="CG46" i="15"/>
  <c r="CG54" i="15"/>
  <c r="CG62" i="15"/>
  <c r="CG70" i="15"/>
  <c r="CG27" i="15"/>
  <c r="CG35" i="15"/>
  <c r="CG43" i="15"/>
  <c r="CG51" i="15"/>
  <c r="CG59" i="15"/>
  <c r="CG32" i="15"/>
  <c r="CG40" i="15"/>
  <c r="CG48" i="15"/>
  <c r="CG56" i="15"/>
  <c r="CG64" i="15"/>
  <c r="CG29" i="15"/>
  <c r="CG37" i="15"/>
  <c r="CG45" i="15"/>
  <c r="CG53" i="15"/>
  <c r="CG61" i="15"/>
  <c r="CG69" i="15"/>
  <c r="CG26" i="15"/>
  <c r="CG34" i="15"/>
  <c r="CG42" i="15"/>
  <c r="CG50" i="15"/>
  <c r="CG58" i="15"/>
  <c r="CG66" i="15"/>
  <c r="CG31" i="15"/>
  <c r="CG39" i="15"/>
  <c r="CG47" i="15"/>
  <c r="CG55" i="15"/>
  <c r="CG63" i="15"/>
  <c r="CG28" i="15"/>
  <c r="CG36" i="15"/>
  <c r="CG44" i="15"/>
  <c r="CG25" i="15"/>
  <c r="CG33" i="15"/>
  <c r="CG41" i="15"/>
  <c r="CG49" i="15"/>
  <c r="CG68" i="15"/>
  <c r="CG74" i="15"/>
  <c r="CG82" i="15"/>
  <c r="CG88" i="15"/>
  <c r="CG13" i="15"/>
  <c r="CG7" i="15"/>
  <c r="CG57" i="15"/>
  <c r="CG71" i="15"/>
  <c r="CG79" i="15"/>
  <c r="CG86" i="15"/>
  <c r="CG93" i="15"/>
  <c r="CG8" i="15"/>
  <c r="CG18" i="15"/>
  <c r="CG65" i="15"/>
  <c r="CG73" i="15"/>
  <c r="CG81" i="15"/>
  <c r="CG87" i="15"/>
  <c r="CG10" i="15"/>
  <c r="CG20" i="15"/>
  <c r="CG52" i="15"/>
  <c r="CG60" i="15"/>
  <c r="CG78" i="15"/>
  <c r="CG85" i="15"/>
  <c r="CG92" i="15"/>
  <c r="CG24" i="15"/>
  <c r="CG17" i="15"/>
  <c r="CG75" i="15"/>
  <c r="CG83" i="15"/>
  <c r="CG89" i="15"/>
  <c r="CG14" i="15"/>
  <c r="CG72" i="15"/>
  <c r="CG80" i="15"/>
  <c r="CG12" i="15"/>
  <c r="CG9" i="15"/>
  <c r="CG19" i="15"/>
  <c r="CG67" i="15"/>
  <c r="CG77" i="15"/>
  <c r="CG11" i="15"/>
  <c r="CG91" i="15"/>
  <c r="CG95" i="15"/>
  <c r="CG16" i="15"/>
  <c r="CG94" i="15"/>
  <c r="CG76" i="15"/>
  <c r="CG90" i="15"/>
  <c r="CG15" i="15"/>
  <c r="AW32" i="15"/>
  <c r="AW40" i="15"/>
  <c r="AW48" i="15"/>
  <c r="AW56" i="15"/>
  <c r="AW64" i="15"/>
  <c r="AW72" i="15"/>
  <c r="AW80" i="15"/>
  <c r="AW12" i="15"/>
  <c r="AW9" i="15"/>
  <c r="AW19" i="15"/>
  <c r="AW29" i="15"/>
  <c r="AW37" i="15"/>
  <c r="AW45" i="15"/>
  <c r="AW53" i="15"/>
  <c r="AW61" i="15"/>
  <c r="AW69" i="15"/>
  <c r="AW77" i="15"/>
  <c r="AW11" i="15"/>
  <c r="AW91" i="15"/>
  <c r="AW95" i="15"/>
  <c r="AW16" i="15"/>
  <c r="AW26" i="15"/>
  <c r="AW34" i="15"/>
  <c r="AW42" i="15"/>
  <c r="AW50" i="15"/>
  <c r="AW58" i="15"/>
  <c r="AW66" i="15"/>
  <c r="AW74" i="15"/>
  <c r="AW82" i="15"/>
  <c r="AW88" i="15"/>
  <c r="AW13" i="15"/>
  <c r="AW31" i="15"/>
  <c r="AW39" i="15"/>
  <c r="AW47" i="15"/>
  <c r="AW55" i="15"/>
  <c r="AW63" i="15"/>
  <c r="AW71" i="15"/>
  <c r="AW79" i="15"/>
  <c r="AW86" i="15"/>
  <c r="AW93" i="15"/>
  <c r="AW8" i="15"/>
  <c r="AW28" i="15"/>
  <c r="AW36" i="15"/>
  <c r="AW44" i="15"/>
  <c r="AW52" i="15"/>
  <c r="AW60" i="15"/>
  <c r="AW68" i="15"/>
  <c r="AW76" i="15"/>
  <c r="AW84" i="15"/>
  <c r="AW90" i="15"/>
  <c r="AW94" i="15"/>
  <c r="AW15" i="15"/>
  <c r="AW25" i="15"/>
  <c r="AW33" i="15"/>
  <c r="AW41" i="15"/>
  <c r="AW49" i="15"/>
  <c r="AW57" i="15"/>
  <c r="AW65" i="15"/>
  <c r="AW73" i="15"/>
  <c r="AW81" i="15"/>
  <c r="AW87" i="15"/>
  <c r="AW10" i="15"/>
  <c r="AW20" i="15"/>
  <c r="AW27" i="15"/>
  <c r="AW35" i="15"/>
  <c r="AW43" i="15"/>
  <c r="AW51" i="15"/>
  <c r="AW59" i="15"/>
  <c r="AW67" i="15"/>
  <c r="AW75" i="15"/>
  <c r="AW83" i="15"/>
  <c r="AW89" i="15"/>
  <c r="AW24" i="15"/>
  <c r="AW14" i="15"/>
  <c r="AP19" i="15"/>
  <c r="AR24" i="15"/>
  <c r="AR94" i="15"/>
  <c r="AS93" i="15"/>
  <c r="AP92" i="15"/>
  <c r="AR90" i="15"/>
  <c r="AO89" i="15"/>
  <c r="AQ87" i="15"/>
  <c r="AS86" i="15"/>
  <c r="AP85" i="15"/>
  <c r="AR84" i="15"/>
  <c r="AO83" i="15"/>
  <c r="AQ81" i="15"/>
  <c r="AS79" i="15"/>
  <c r="AP78" i="15"/>
  <c r="AR76" i="15"/>
  <c r="AO75" i="15"/>
  <c r="AQ73" i="15"/>
  <c r="AS71" i="15"/>
  <c r="AP70" i="15"/>
  <c r="AR68" i="15"/>
  <c r="AO67" i="15"/>
  <c r="AQ65" i="15"/>
  <c r="AS63" i="15"/>
  <c r="AP62" i="15"/>
  <c r="AR60" i="15"/>
  <c r="AO59" i="15"/>
  <c r="AQ57" i="15"/>
  <c r="AS55" i="15"/>
  <c r="AP54" i="15"/>
  <c r="AR52" i="15"/>
  <c r="AO51" i="15"/>
  <c r="AQ49" i="15"/>
  <c r="AS47" i="15"/>
  <c r="AP46" i="15"/>
  <c r="AR44" i="15"/>
  <c r="AO43" i="15"/>
  <c r="AQ41" i="15"/>
  <c r="AS39" i="15"/>
  <c r="AR37" i="15"/>
  <c r="AQ35" i="15"/>
  <c r="AO33" i="15"/>
  <c r="AQ30" i="15"/>
  <c r="AP27" i="15"/>
  <c r="AV7" i="15"/>
  <c r="AW18" i="15"/>
  <c r="AV14" i="15"/>
  <c r="AY84" i="15"/>
  <c r="AU72" i="15"/>
  <c r="AV59" i="15"/>
  <c r="AW46" i="15"/>
  <c r="AX33" i="15"/>
  <c r="BI16" i="15"/>
  <c r="BG62" i="15"/>
  <c r="CG84" i="15"/>
  <c r="AR47" i="15"/>
  <c r="AQ44" i="15"/>
  <c r="AS42" i="15"/>
  <c r="AP41" i="15"/>
  <c r="AQ39" i="15"/>
  <c r="AQ37" i="15"/>
  <c r="AP35" i="15"/>
  <c r="AS32" i="15"/>
  <c r="AR26" i="15"/>
  <c r="AW7" i="15"/>
  <c r="AV18" i="15"/>
  <c r="AX13" i="15"/>
  <c r="AV83" i="15"/>
  <c r="AW70" i="15"/>
  <c r="AX57" i="15"/>
  <c r="AY44" i="15"/>
  <c r="AU32" i="15"/>
  <c r="BI10" i="15"/>
  <c r="CH71" i="15"/>
  <c r="AP11" i="15"/>
  <c r="AO30" i="15"/>
  <c r="AO38" i="15"/>
  <c r="AO27" i="15"/>
  <c r="AO26" i="15"/>
  <c r="AO34" i="15"/>
  <c r="AO31" i="15"/>
  <c r="AO92" i="15"/>
  <c r="AO78" i="15"/>
  <c r="AP57" i="15"/>
  <c r="CO32" i="15"/>
  <c r="CO40" i="15"/>
  <c r="CO48" i="15"/>
  <c r="CO56" i="15"/>
  <c r="CO64" i="15"/>
  <c r="CO72" i="15"/>
  <c r="CO80" i="15"/>
  <c r="CO12" i="15"/>
  <c r="CO14" i="15"/>
  <c r="CO29" i="15"/>
  <c r="CO37" i="15"/>
  <c r="CO45" i="15"/>
  <c r="CO53" i="15"/>
  <c r="CO61" i="15"/>
  <c r="CO69" i="15"/>
  <c r="CO77" i="15"/>
  <c r="CO11" i="15"/>
  <c r="CO91" i="15"/>
  <c r="CO95" i="15"/>
  <c r="CO9" i="15"/>
  <c r="CO19" i="15"/>
  <c r="CO26" i="15"/>
  <c r="CO34" i="15"/>
  <c r="CO42" i="15"/>
  <c r="CO50" i="15"/>
  <c r="CO58" i="15"/>
  <c r="CO66" i="15"/>
  <c r="CO74" i="15"/>
  <c r="CO82" i="15"/>
  <c r="CO88" i="15"/>
  <c r="CO16" i="15"/>
  <c r="CO31" i="15"/>
  <c r="CO39" i="15"/>
  <c r="CO47" i="15"/>
  <c r="CO55" i="15"/>
  <c r="CO63" i="15"/>
  <c r="CO71" i="15"/>
  <c r="CO79" i="15"/>
  <c r="CO86" i="15"/>
  <c r="CO93" i="15"/>
  <c r="CO24" i="15"/>
  <c r="CO13" i="15"/>
  <c r="CO28" i="15"/>
  <c r="CO36" i="15"/>
  <c r="CO44" i="15"/>
  <c r="CO52" i="15"/>
  <c r="CO60" i="15"/>
  <c r="CO68" i="15"/>
  <c r="CO76" i="15"/>
  <c r="CO84" i="15"/>
  <c r="CO90" i="15"/>
  <c r="CO94" i="15"/>
  <c r="CO8" i="15"/>
  <c r="CO18" i="15"/>
  <c r="CO25" i="15"/>
  <c r="CO33" i="15"/>
  <c r="CO41" i="15"/>
  <c r="CO49" i="15"/>
  <c r="CO57" i="15"/>
  <c r="CO65" i="15"/>
  <c r="CO73" i="15"/>
  <c r="CO81" i="15"/>
  <c r="CO87" i="15"/>
  <c r="CO15" i="15"/>
  <c r="CO30" i="15"/>
  <c r="CO38" i="15"/>
  <c r="CO46" i="15"/>
  <c r="CO54" i="15"/>
  <c r="CO62" i="15"/>
  <c r="CO70" i="15"/>
  <c r="CO78" i="15"/>
  <c r="CO85" i="15"/>
  <c r="CO92" i="15"/>
  <c r="CO10" i="15"/>
  <c r="CO20" i="15"/>
  <c r="CO27" i="15"/>
  <c r="CO35" i="15"/>
  <c r="CO43" i="15"/>
  <c r="CO51" i="15"/>
  <c r="CO59" i="15"/>
  <c r="CO67" i="15"/>
  <c r="CO75" i="15"/>
  <c r="CO83" i="15"/>
  <c r="CO89" i="15"/>
  <c r="CO17" i="15"/>
  <c r="CO7" i="15"/>
  <c r="BK28" i="15"/>
  <c r="BK36" i="15"/>
  <c r="BK44" i="15"/>
  <c r="BK52" i="15"/>
  <c r="BK60" i="15"/>
  <c r="BK68" i="15"/>
  <c r="BK76" i="15"/>
  <c r="BK84" i="15"/>
  <c r="BK90" i="15"/>
  <c r="BK94" i="15"/>
  <c r="BK10" i="15"/>
  <c r="BK25" i="15"/>
  <c r="BK33" i="15"/>
  <c r="BK41" i="15"/>
  <c r="BK49" i="15"/>
  <c r="BK57" i="15"/>
  <c r="BK65" i="15"/>
  <c r="BK73" i="15"/>
  <c r="BK81" i="15"/>
  <c r="BK87" i="15"/>
  <c r="BK17" i="15"/>
  <c r="BK27" i="15"/>
  <c r="BK35" i="15"/>
  <c r="BK43" i="15"/>
  <c r="BK51" i="15"/>
  <c r="BK59" i="15"/>
  <c r="BK67" i="15"/>
  <c r="BK75" i="15"/>
  <c r="BK83" i="15"/>
  <c r="BK89" i="15"/>
  <c r="BK9" i="15"/>
  <c r="BK32" i="15"/>
  <c r="BK40" i="15"/>
  <c r="BK48" i="15"/>
  <c r="BK56" i="15"/>
  <c r="BK64" i="15"/>
  <c r="BK72" i="15"/>
  <c r="BK80" i="15"/>
  <c r="BK12" i="15"/>
  <c r="BK16" i="15"/>
  <c r="BK29" i="15"/>
  <c r="BK37" i="15"/>
  <c r="BK45" i="15"/>
  <c r="BK53" i="15"/>
  <c r="BK61" i="15"/>
  <c r="BK69" i="15"/>
  <c r="BK77" i="15"/>
  <c r="BK11" i="15"/>
  <c r="BK91" i="15"/>
  <c r="BK95" i="15"/>
  <c r="BK13" i="15"/>
  <c r="BK26" i="15"/>
  <c r="BK34" i="15"/>
  <c r="BK42" i="15"/>
  <c r="BK50" i="15"/>
  <c r="BK31" i="15"/>
  <c r="BK39" i="15"/>
  <c r="BK47" i="15"/>
  <c r="BK55" i="15"/>
  <c r="BK63" i="15"/>
  <c r="BK71" i="15"/>
  <c r="BK79" i="15"/>
  <c r="BK86" i="15"/>
  <c r="BK82" i="15"/>
  <c r="BK24" i="15"/>
  <c r="BK19" i="15"/>
  <c r="BK46" i="15"/>
  <c r="BK70" i="15"/>
  <c r="BK58" i="15"/>
  <c r="BK78" i="15"/>
  <c r="BK88" i="15"/>
  <c r="BK92" i="15"/>
  <c r="BK8" i="15"/>
  <c r="BK14" i="15"/>
  <c r="BK18" i="15"/>
  <c r="BK38" i="15"/>
  <c r="BK66" i="15"/>
  <c r="BK85" i="15"/>
  <c r="BK93" i="15"/>
  <c r="BK15" i="15"/>
  <c r="BK20" i="15"/>
  <c r="BK30" i="15"/>
  <c r="BK62" i="15"/>
  <c r="AS26" i="15"/>
  <c r="AS34" i="15"/>
  <c r="AS31" i="15"/>
  <c r="AS30" i="15"/>
  <c r="AS38" i="15"/>
  <c r="AS27" i="15"/>
  <c r="AP15" i="15"/>
  <c r="AS95" i="15"/>
  <c r="AP94" i="15"/>
  <c r="AQ93" i="15"/>
  <c r="AS91" i="15"/>
  <c r="AP90" i="15"/>
  <c r="AR88" i="15"/>
  <c r="AO87" i="15"/>
  <c r="AQ86" i="15"/>
  <c r="AS11" i="15"/>
  <c r="AP84" i="15"/>
  <c r="AR82" i="15"/>
  <c r="AO81" i="15"/>
  <c r="AQ79" i="15"/>
  <c r="AS77" i="15"/>
  <c r="AP76" i="15"/>
  <c r="AR74" i="15"/>
  <c r="AO73" i="15"/>
  <c r="AQ71" i="15"/>
  <c r="AS69" i="15"/>
  <c r="AP68" i="15"/>
  <c r="AR66" i="15"/>
  <c r="AO65" i="15"/>
  <c r="AQ63" i="15"/>
  <c r="AS61" i="15"/>
  <c r="AP60" i="15"/>
  <c r="AR58" i="15"/>
  <c r="AO57" i="15"/>
  <c r="AQ55" i="15"/>
  <c r="AS53" i="15"/>
  <c r="AP52" i="15"/>
  <c r="AR50" i="15"/>
  <c r="AO49" i="15"/>
  <c r="AQ47" i="15"/>
  <c r="AS45" i="15"/>
  <c r="AP44" i="15"/>
  <c r="AR42" i="15"/>
  <c r="AO41" i="15"/>
  <c r="AP39" i="15"/>
  <c r="AO37" i="15"/>
  <c r="AO35" i="15"/>
  <c r="AR32" i="15"/>
  <c r="AQ26" i="15"/>
  <c r="AY20" i="15"/>
  <c r="AX17" i="15"/>
  <c r="AX10" i="15"/>
  <c r="AW92" i="15"/>
  <c r="AX81" i="15"/>
  <c r="AY68" i="15"/>
  <c r="AU56" i="15"/>
  <c r="AW30" i="15"/>
  <c r="BG42" i="15"/>
  <c r="CL31" i="15"/>
  <c r="CL39" i="15"/>
  <c r="CL47" i="15"/>
  <c r="CL55" i="15"/>
  <c r="CL63" i="15"/>
  <c r="CL71" i="15"/>
  <c r="CL79" i="15"/>
  <c r="CL86" i="15"/>
  <c r="CL93" i="15"/>
  <c r="CL13" i="15"/>
  <c r="CL28" i="15"/>
  <c r="CL36" i="15"/>
  <c r="CL44" i="15"/>
  <c r="CL52" i="15"/>
  <c r="CL60" i="15"/>
  <c r="CL68" i="15"/>
  <c r="CL76" i="15"/>
  <c r="CL84" i="15"/>
  <c r="CL90" i="15"/>
  <c r="CL94" i="15"/>
  <c r="CL8" i="15"/>
  <c r="CL18" i="15"/>
  <c r="CL25" i="15"/>
  <c r="CL33" i="15"/>
  <c r="CL41" i="15"/>
  <c r="CL49" i="15"/>
  <c r="CL57" i="15"/>
  <c r="CL65" i="15"/>
  <c r="CL73" i="15"/>
  <c r="CL81" i="15"/>
  <c r="CL87" i="15"/>
  <c r="CL15" i="15"/>
  <c r="CL7" i="15"/>
  <c r="CL30" i="15"/>
  <c r="CL38" i="15"/>
  <c r="CL46" i="15"/>
  <c r="CL54" i="15"/>
  <c r="CL62" i="15"/>
  <c r="CL70" i="15"/>
  <c r="CL78" i="15"/>
  <c r="CL85" i="15"/>
  <c r="CL92" i="15"/>
  <c r="CL10" i="15"/>
  <c r="CL20" i="15"/>
  <c r="CL27" i="15"/>
  <c r="CL35" i="15"/>
  <c r="CL43" i="15"/>
  <c r="CL51" i="15"/>
  <c r="CL59" i="15"/>
  <c r="CL67" i="15"/>
  <c r="CL75" i="15"/>
  <c r="CL83" i="15"/>
  <c r="CL89" i="15"/>
  <c r="CL17" i="15"/>
  <c r="CL32" i="15"/>
  <c r="CL40" i="15"/>
  <c r="CL48" i="15"/>
  <c r="CL56" i="15"/>
  <c r="CL64" i="15"/>
  <c r="CL72" i="15"/>
  <c r="CL80" i="15"/>
  <c r="CL12" i="15"/>
  <c r="CL14" i="15"/>
  <c r="CL29" i="15"/>
  <c r="CL37" i="15"/>
  <c r="CL45" i="15"/>
  <c r="CL53" i="15"/>
  <c r="CL61" i="15"/>
  <c r="CL69" i="15"/>
  <c r="CL77" i="15"/>
  <c r="CL11" i="15"/>
  <c r="CL91" i="15"/>
  <c r="CL95" i="15"/>
  <c r="CL24" i="15"/>
  <c r="CL9" i="15"/>
  <c r="CL19" i="15"/>
  <c r="CL26" i="15"/>
  <c r="CL34" i="15"/>
  <c r="CL42" i="15"/>
  <c r="CL50" i="15"/>
  <c r="CL58" i="15"/>
  <c r="CL66" i="15"/>
  <c r="CL74" i="15"/>
  <c r="CL82" i="15"/>
  <c r="CL88" i="15"/>
  <c r="CL16" i="15"/>
  <c r="AP91" i="15"/>
  <c r="CF27" i="15"/>
  <c r="CF35" i="15"/>
  <c r="CF43" i="15"/>
  <c r="CF51" i="15"/>
  <c r="CF59" i="15"/>
  <c r="CF67" i="15"/>
  <c r="CF32" i="15"/>
  <c r="CF40" i="15"/>
  <c r="CF48" i="15"/>
  <c r="CF56" i="15"/>
  <c r="CF64" i="15"/>
  <c r="CF29" i="15"/>
  <c r="CF37" i="15"/>
  <c r="CF45" i="15"/>
  <c r="CF53" i="15"/>
  <c r="CF61" i="15"/>
  <c r="CF69" i="15"/>
  <c r="CF26" i="15"/>
  <c r="CF34" i="15"/>
  <c r="CF42" i="15"/>
  <c r="CF50" i="15"/>
  <c r="CF58" i="15"/>
  <c r="CF66" i="15"/>
  <c r="CF31" i="15"/>
  <c r="CF39" i="15"/>
  <c r="CF47" i="15"/>
  <c r="CF55" i="15"/>
  <c r="CF63" i="15"/>
  <c r="CF28" i="15"/>
  <c r="CF36" i="15"/>
  <c r="CF44" i="15"/>
  <c r="CF52" i="15"/>
  <c r="CF60" i="15"/>
  <c r="CF68" i="15"/>
  <c r="CF25" i="15"/>
  <c r="CF33" i="15"/>
  <c r="CF41" i="15"/>
  <c r="CF49" i="15"/>
  <c r="CF30" i="15"/>
  <c r="CF38" i="15"/>
  <c r="CF46" i="15"/>
  <c r="CF54" i="15"/>
  <c r="CF57" i="15"/>
  <c r="CF71" i="15"/>
  <c r="CF79" i="15"/>
  <c r="CF86" i="15"/>
  <c r="CF93" i="15"/>
  <c r="CF8" i="15"/>
  <c r="CF18" i="15"/>
  <c r="CF76" i="15"/>
  <c r="CF84" i="15"/>
  <c r="CF90" i="15"/>
  <c r="CF94" i="15"/>
  <c r="CF15" i="15"/>
  <c r="CF7" i="15"/>
  <c r="CF78" i="15"/>
  <c r="CF85" i="15"/>
  <c r="CF92" i="15"/>
  <c r="CF17" i="15"/>
  <c r="CF70" i="15"/>
  <c r="CF75" i="15"/>
  <c r="CF83" i="15"/>
  <c r="CF89" i="15"/>
  <c r="CF14" i="15"/>
  <c r="CF72" i="15"/>
  <c r="CF80" i="15"/>
  <c r="CF12" i="15"/>
  <c r="CF24" i="15"/>
  <c r="CF9" i="15"/>
  <c r="CF19" i="15"/>
  <c r="CF77" i="15"/>
  <c r="CF11" i="15"/>
  <c r="CF91" i="15"/>
  <c r="CF95" i="15"/>
  <c r="CF16" i="15"/>
  <c r="CF62" i="15"/>
  <c r="CF74" i="15"/>
  <c r="CF82" i="15"/>
  <c r="CF88" i="15"/>
  <c r="CF13" i="15"/>
  <c r="CF20" i="15"/>
  <c r="CF87" i="15"/>
  <c r="CF10" i="15"/>
  <c r="CF65" i="15"/>
  <c r="CF81" i="15"/>
  <c r="CF73" i="15"/>
  <c r="AV29" i="15"/>
  <c r="AV37" i="15"/>
  <c r="AV45" i="15"/>
  <c r="AV53" i="15"/>
  <c r="AV61" i="15"/>
  <c r="AV69" i="15"/>
  <c r="AV77" i="15"/>
  <c r="AV11" i="15"/>
  <c r="AV91" i="15"/>
  <c r="AV95" i="15"/>
  <c r="AV24" i="15"/>
  <c r="AV16" i="15"/>
  <c r="AV26" i="15"/>
  <c r="AV34" i="15"/>
  <c r="AV42" i="15"/>
  <c r="AV50" i="15"/>
  <c r="AV58" i="15"/>
  <c r="AV66" i="15"/>
  <c r="AV74" i="15"/>
  <c r="AV82" i="15"/>
  <c r="AV88" i="15"/>
  <c r="AV13" i="15"/>
  <c r="AV31" i="15"/>
  <c r="AV39" i="15"/>
  <c r="AV47" i="15"/>
  <c r="AV55" i="15"/>
  <c r="AV63" i="15"/>
  <c r="AV71" i="15"/>
  <c r="AV79" i="15"/>
  <c r="AV86" i="15"/>
  <c r="AV93" i="15"/>
  <c r="AV28" i="15"/>
  <c r="AV36" i="15"/>
  <c r="AV44" i="15"/>
  <c r="AV52" i="15"/>
  <c r="AV60" i="15"/>
  <c r="AV68" i="15"/>
  <c r="AV76" i="15"/>
  <c r="AV84" i="15"/>
  <c r="AV90" i="15"/>
  <c r="AV94" i="15"/>
  <c r="AV25" i="15"/>
  <c r="AV33" i="15"/>
  <c r="AV41" i="15"/>
  <c r="AV49" i="15"/>
  <c r="AV57" i="15"/>
  <c r="AV65" i="15"/>
  <c r="AV73" i="15"/>
  <c r="AV81" i="15"/>
  <c r="AV87" i="15"/>
  <c r="AV10" i="15"/>
  <c r="AV20" i="15"/>
  <c r="AV30" i="15"/>
  <c r="AV38" i="15"/>
  <c r="AV46" i="15"/>
  <c r="AV54" i="15"/>
  <c r="AV62" i="15"/>
  <c r="AV70" i="15"/>
  <c r="AV78" i="15"/>
  <c r="AV85" i="15"/>
  <c r="AV92" i="15"/>
  <c r="AV17" i="15"/>
  <c r="AV32" i="15"/>
  <c r="AV40" i="15"/>
  <c r="AV48" i="15"/>
  <c r="AV56" i="15"/>
  <c r="AV64" i="15"/>
  <c r="AV72" i="15"/>
  <c r="AV80" i="15"/>
  <c r="AV12" i="15"/>
  <c r="AV9" i="15"/>
  <c r="AP17" i="15"/>
  <c r="AP73" i="15"/>
  <c r="AO70" i="15"/>
  <c r="AO62" i="15"/>
  <c r="CN29" i="15"/>
  <c r="CN37" i="15"/>
  <c r="CN45" i="15"/>
  <c r="CN53" i="15"/>
  <c r="CN61" i="15"/>
  <c r="CN69" i="15"/>
  <c r="CN77" i="15"/>
  <c r="CN11" i="15"/>
  <c r="CN91" i="15"/>
  <c r="CN95" i="15"/>
  <c r="CN9" i="15"/>
  <c r="CN19" i="15"/>
  <c r="CN7" i="15"/>
  <c r="CN26" i="15"/>
  <c r="CN34" i="15"/>
  <c r="CN42" i="15"/>
  <c r="CN50" i="15"/>
  <c r="CN58" i="15"/>
  <c r="CN66" i="15"/>
  <c r="CN74" i="15"/>
  <c r="CN82" i="15"/>
  <c r="CN88" i="15"/>
  <c r="CN16" i="15"/>
  <c r="CN31" i="15"/>
  <c r="CN39" i="15"/>
  <c r="CN47" i="15"/>
  <c r="CN55" i="15"/>
  <c r="CN63" i="15"/>
  <c r="CN71" i="15"/>
  <c r="CN79" i="15"/>
  <c r="CN86" i="15"/>
  <c r="CN93" i="15"/>
  <c r="CN13" i="15"/>
  <c r="CN28" i="15"/>
  <c r="CN36" i="15"/>
  <c r="CN44" i="15"/>
  <c r="CN52" i="15"/>
  <c r="CN60" i="15"/>
  <c r="CN68" i="15"/>
  <c r="CN76" i="15"/>
  <c r="CN84" i="15"/>
  <c r="CN90" i="15"/>
  <c r="CN94" i="15"/>
  <c r="CN8" i="15"/>
  <c r="CN18" i="15"/>
  <c r="CN25" i="15"/>
  <c r="CN33" i="15"/>
  <c r="CN41" i="15"/>
  <c r="CN49" i="15"/>
  <c r="CN57" i="15"/>
  <c r="CN65" i="15"/>
  <c r="CN73" i="15"/>
  <c r="CN81" i="15"/>
  <c r="CN87" i="15"/>
  <c r="CN24" i="15"/>
  <c r="CN15" i="15"/>
  <c r="CN30" i="15"/>
  <c r="CN38" i="15"/>
  <c r="CN46" i="15"/>
  <c r="CN54" i="15"/>
  <c r="CN62" i="15"/>
  <c r="CN70" i="15"/>
  <c r="CN78" i="15"/>
  <c r="CN85" i="15"/>
  <c r="CN92" i="15"/>
  <c r="CN10" i="15"/>
  <c r="CN20" i="15"/>
  <c r="CN27" i="15"/>
  <c r="CN35" i="15"/>
  <c r="CN43" i="15"/>
  <c r="CN51" i="15"/>
  <c r="CN59" i="15"/>
  <c r="CN67" i="15"/>
  <c r="CN75" i="15"/>
  <c r="CN83" i="15"/>
  <c r="CN89" i="15"/>
  <c r="CN17" i="15"/>
  <c r="CN32" i="15"/>
  <c r="CN40" i="15"/>
  <c r="CN48" i="15"/>
  <c r="CN56" i="15"/>
  <c r="CN64" i="15"/>
  <c r="CN72" i="15"/>
  <c r="CN80" i="15"/>
  <c r="CN12" i="15"/>
  <c r="CN14" i="15"/>
  <c r="BJ25" i="15"/>
  <c r="BJ33" i="15"/>
  <c r="BJ41" i="15"/>
  <c r="BJ49" i="15"/>
  <c r="BJ57" i="15"/>
  <c r="BJ65" i="15"/>
  <c r="BJ73" i="15"/>
  <c r="BJ81" i="15"/>
  <c r="BJ87" i="15"/>
  <c r="BJ17" i="15"/>
  <c r="BJ30" i="15"/>
  <c r="BJ38" i="15"/>
  <c r="BJ46" i="15"/>
  <c r="BJ54" i="15"/>
  <c r="BJ62" i="15"/>
  <c r="BJ70" i="15"/>
  <c r="BJ78" i="15"/>
  <c r="BJ85" i="15"/>
  <c r="BJ92" i="15"/>
  <c r="BJ14" i="15"/>
  <c r="BJ32" i="15"/>
  <c r="BJ40" i="15"/>
  <c r="BJ48" i="15"/>
  <c r="BJ56" i="15"/>
  <c r="BJ64" i="15"/>
  <c r="BJ72" i="15"/>
  <c r="BJ80" i="15"/>
  <c r="BJ12" i="15"/>
  <c r="BJ16" i="15"/>
  <c r="BJ29" i="15"/>
  <c r="BJ37" i="15"/>
  <c r="BJ45" i="15"/>
  <c r="BJ53" i="15"/>
  <c r="BJ61" i="15"/>
  <c r="BJ69" i="15"/>
  <c r="BJ77" i="15"/>
  <c r="BJ11" i="15"/>
  <c r="BJ91" i="15"/>
  <c r="BJ95" i="15"/>
  <c r="BJ13" i="15"/>
  <c r="BJ26" i="15"/>
  <c r="BJ34" i="15"/>
  <c r="BJ42" i="15"/>
  <c r="BJ50" i="15"/>
  <c r="BJ58" i="15"/>
  <c r="BJ66" i="15"/>
  <c r="BJ74" i="15"/>
  <c r="BJ82" i="15"/>
  <c r="BJ88" i="15"/>
  <c r="BJ8" i="15"/>
  <c r="BJ31" i="15"/>
  <c r="BJ39" i="15"/>
  <c r="BJ47" i="15"/>
  <c r="BJ55" i="15"/>
  <c r="BJ28" i="15"/>
  <c r="BJ36" i="15"/>
  <c r="BJ44" i="15"/>
  <c r="BJ52" i="15"/>
  <c r="BJ60" i="15"/>
  <c r="BJ68" i="15"/>
  <c r="BJ76" i="15"/>
  <c r="BJ84" i="15"/>
  <c r="BJ63" i="15"/>
  <c r="BJ83" i="15"/>
  <c r="BJ24" i="15"/>
  <c r="BJ35" i="15"/>
  <c r="BJ71" i="15"/>
  <c r="BJ18" i="15"/>
  <c r="BJ59" i="15"/>
  <c r="BJ51" i="15"/>
  <c r="BJ79" i="15"/>
  <c r="BJ93" i="15"/>
  <c r="BJ15" i="15"/>
  <c r="BJ20" i="15"/>
  <c r="BJ27" i="15"/>
  <c r="BJ67" i="15"/>
  <c r="BJ89" i="15"/>
  <c r="BJ9" i="15"/>
  <c r="BJ43" i="15"/>
  <c r="BJ75" i="15"/>
  <c r="BJ90" i="15"/>
  <c r="BJ10" i="15"/>
  <c r="BJ19" i="15"/>
  <c r="BJ7" i="15"/>
  <c r="AR7" i="15"/>
  <c r="AR31" i="15"/>
  <c r="AR39" i="15"/>
  <c r="AR28" i="15"/>
  <c r="AR27" i="15"/>
  <c r="AR35" i="15"/>
  <c r="AP13" i="15"/>
  <c r="AR95" i="15"/>
  <c r="AO94" i="15"/>
  <c r="AP93" i="15"/>
  <c r="AR91" i="15"/>
  <c r="AO90" i="15"/>
  <c r="AQ88" i="15"/>
  <c r="AS12" i="15"/>
  <c r="AP86" i="15"/>
  <c r="AR11" i="15"/>
  <c r="AO84" i="15"/>
  <c r="AQ82" i="15"/>
  <c r="AS80" i="15"/>
  <c r="AP79" i="15"/>
  <c r="AR77" i="15"/>
  <c r="AO76" i="15"/>
  <c r="AQ74" i="15"/>
  <c r="AS72" i="15"/>
  <c r="AP71" i="15"/>
  <c r="AR69" i="15"/>
  <c r="AO68" i="15"/>
  <c r="AQ66" i="15"/>
  <c r="AS64" i="15"/>
  <c r="AP63" i="15"/>
  <c r="AR61" i="15"/>
  <c r="AO60" i="15"/>
  <c r="AQ58" i="15"/>
  <c r="AS56" i="15"/>
  <c r="AP55" i="15"/>
  <c r="AR53" i="15"/>
  <c r="AO52" i="15"/>
  <c r="AQ50" i="15"/>
  <c r="AS48" i="15"/>
  <c r="AP47" i="15"/>
  <c r="AR45" i="15"/>
  <c r="AO44" i="15"/>
  <c r="AS40" i="15"/>
  <c r="AO39" i="15"/>
  <c r="AS36" i="15"/>
  <c r="AR34" i="15"/>
  <c r="AO29" i="15"/>
  <c r="AS25" i="15"/>
  <c r="AX20" i="15"/>
  <c r="AW17" i="15"/>
  <c r="AU10" i="15"/>
  <c r="AY90" i="15"/>
  <c r="AU80" i="15"/>
  <c r="AV67" i="15"/>
  <c r="AW54" i="15"/>
  <c r="AX41" i="15"/>
  <c r="AY28" i="15"/>
  <c r="BH29" i="15"/>
  <c r="AP7" i="15"/>
  <c r="AP25" i="15"/>
  <c r="AP33" i="15"/>
  <c r="AP30" i="15"/>
  <c r="AP29" i="15"/>
  <c r="AP37" i="15"/>
  <c r="AP26" i="15"/>
  <c r="AP61" i="15"/>
  <c r="AP87" i="15"/>
  <c r="AO85" i="15"/>
  <c r="AP81" i="15"/>
  <c r="AP65" i="15"/>
  <c r="AO54" i="15"/>
  <c r="CM26" i="15"/>
  <c r="CM34" i="15"/>
  <c r="CM42" i="15"/>
  <c r="CM50" i="15"/>
  <c r="CM58" i="15"/>
  <c r="CM66" i="15"/>
  <c r="CM74" i="15"/>
  <c r="CM82" i="15"/>
  <c r="CM88" i="15"/>
  <c r="CM16" i="15"/>
  <c r="CM31" i="15"/>
  <c r="CM39" i="15"/>
  <c r="CM47" i="15"/>
  <c r="CM55" i="15"/>
  <c r="CM63" i="15"/>
  <c r="CM71" i="15"/>
  <c r="CM79" i="15"/>
  <c r="CM86" i="15"/>
  <c r="CM93" i="15"/>
  <c r="CM13" i="15"/>
  <c r="CM7" i="15"/>
  <c r="CM28" i="15"/>
  <c r="CM36" i="15"/>
  <c r="CM44" i="15"/>
  <c r="CM52" i="15"/>
  <c r="CM60" i="15"/>
  <c r="CM68" i="15"/>
  <c r="CM76" i="15"/>
  <c r="CM84" i="15"/>
  <c r="CM90" i="15"/>
  <c r="CM94" i="15"/>
  <c r="CM8" i="15"/>
  <c r="CM18" i="15"/>
  <c r="CM25" i="15"/>
  <c r="CM33" i="15"/>
  <c r="CM41" i="15"/>
  <c r="CM49" i="15"/>
  <c r="CM57" i="15"/>
  <c r="CM65" i="15"/>
  <c r="CM73" i="15"/>
  <c r="CM81" i="15"/>
  <c r="CM87" i="15"/>
  <c r="CM15" i="15"/>
  <c r="CM30" i="15"/>
  <c r="CM38" i="15"/>
  <c r="CM46" i="15"/>
  <c r="CM54" i="15"/>
  <c r="CM62" i="15"/>
  <c r="CM70" i="15"/>
  <c r="CM78" i="15"/>
  <c r="CM85" i="15"/>
  <c r="CM92" i="15"/>
  <c r="CM10" i="15"/>
  <c r="CM20" i="15"/>
  <c r="CM27" i="15"/>
  <c r="CM35" i="15"/>
  <c r="CM43" i="15"/>
  <c r="CM51" i="15"/>
  <c r="CM59" i="15"/>
  <c r="CM67" i="15"/>
  <c r="CM75" i="15"/>
  <c r="CM83" i="15"/>
  <c r="CM89" i="15"/>
  <c r="CM24" i="15"/>
  <c r="CM17" i="15"/>
  <c r="CM32" i="15"/>
  <c r="CM40" i="15"/>
  <c r="CM48" i="15"/>
  <c r="CM56" i="15"/>
  <c r="CM64" i="15"/>
  <c r="CM72" i="15"/>
  <c r="CM80" i="15"/>
  <c r="CM12" i="15"/>
  <c r="CM14" i="15"/>
  <c r="CM29" i="15"/>
  <c r="CM37" i="15"/>
  <c r="CM45" i="15"/>
  <c r="CM53" i="15"/>
  <c r="CM61" i="15"/>
  <c r="CM69" i="15"/>
  <c r="CM77" i="15"/>
  <c r="CM11" i="15"/>
  <c r="CM91" i="15"/>
  <c r="CM95" i="15"/>
  <c r="CM9" i="15"/>
  <c r="CM19" i="15"/>
  <c r="BI30" i="15"/>
  <c r="BI38" i="15"/>
  <c r="BI46" i="15"/>
  <c r="BI54" i="15"/>
  <c r="BI62" i="15"/>
  <c r="BI70" i="15"/>
  <c r="BI78" i="15"/>
  <c r="BI85" i="15"/>
  <c r="BI92" i="15"/>
  <c r="BI24" i="15"/>
  <c r="BI14" i="15"/>
  <c r="BI27" i="15"/>
  <c r="BI35" i="15"/>
  <c r="BI43" i="15"/>
  <c r="BI51" i="15"/>
  <c r="BI59" i="15"/>
  <c r="BI67" i="15"/>
  <c r="BI75" i="15"/>
  <c r="BI83" i="15"/>
  <c r="BI89" i="15"/>
  <c r="BI9" i="15"/>
  <c r="BI29" i="15"/>
  <c r="BI37" i="15"/>
  <c r="BI45" i="15"/>
  <c r="BI53" i="15"/>
  <c r="BI61" i="15"/>
  <c r="BI69" i="15"/>
  <c r="BI77" i="15"/>
  <c r="BI11" i="15"/>
  <c r="BI91" i="15"/>
  <c r="BI95" i="15"/>
  <c r="BI13" i="15"/>
  <c r="BI26" i="15"/>
  <c r="BI34" i="15"/>
  <c r="BI42" i="15"/>
  <c r="BI50" i="15"/>
  <c r="BI58" i="15"/>
  <c r="BI66" i="15"/>
  <c r="BI74" i="15"/>
  <c r="BI82" i="15"/>
  <c r="BI88" i="15"/>
  <c r="BI8" i="15"/>
  <c r="BI18" i="15"/>
  <c r="BI31" i="15"/>
  <c r="BI39" i="15"/>
  <c r="BI47" i="15"/>
  <c r="BI55" i="15"/>
  <c r="BI63" i="15"/>
  <c r="BI71" i="15"/>
  <c r="BI79" i="15"/>
  <c r="BI86" i="15"/>
  <c r="BI93" i="15"/>
  <c r="BI15" i="15"/>
  <c r="BI28" i="15"/>
  <c r="BI36" i="15"/>
  <c r="BI44" i="15"/>
  <c r="BI52" i="15"/>
  <c r="BI25" i="15"/>
  <c r="BI33" i="15"/>
  <c r="BI41" i="15"/>
  <c r="BI49" i="15"/>
  <c r="BI57" i="15"/>
  <c r="BI65" i="15"/>
  <c r="BI73" i="15"/>
  <c r="BI81" i="15"/>
  <c r="BI32" i="15"/>
  <c r="BI76" i="15"/>
  <c r="BI17" i="15"/>
  <c r="BI7" i="15"/>
  <c r="BI64" i="15"/>
  <c r="BI87" i="15"/>
  <c r="BI48" i="15"/>
  <c r="BI84" i="15"/>
  <c r="BI72" i="15"/>
  <c r="BI20" i="15"/>
  <c r="BI60" i="15"/>
  <c r="BI40" i="15"/>
  <c r="BI80" i="15"/>
  <c r="BI94" i="15"/>
  <c r="BI56" i="15"/>
  <c r="BI12" i="15"/>
  <c r="AQ9" i="15"/>
  <c r="AQ28" i="15"/>
  <c r="AQ36" i="15"/>
  <c r="AQ25" i="15"/>
  <c r="AQ33" i="15"/>
  <c r="AQ32" i="15"/>
  <c r="AQ29" i="15"/>
  <c r="AP9" i="15"/>
  <c r="AQ95" i="15"/>
  <c r="AO93" i="15"/>
  <c r="AQ91" i="15"/>
  <c r="AS89" i="15"/>
  <c r="AP88" i="15"/>
  <c r="AR12" i="15"/>
  <c r="AO86" i="15"/>
  <c r="AQ11" i="15"/>
  <c r="AS83" i="15"/>
  <c r="AP82" i="15"/>
  <c r="AR80" i="15"/>
  <c r="AO79" i="15"/>
  <c r="AQ77" i="15"/>
  <c r="AS75" i="15"/>
  <c r="AP74" i="15"/>
  <c r="AR72" i="15"/>
  <c r="AO71" i="15"/>
  <c r="AQ69" i="15"/>
  <c r="AS67" i="15"/>
  <c r="AP66" i="15"/>
  <c r="AR64" i="15"/>
  <c r="AO63" i="15"/>
  <c r="AQ61" i="15"/>
  <c r="AS59" i="15"/>
  <c r="AP58" i="15"/>
  <c r="AR56" i="15"/>
  <c r="AO55" i="15"/>
  <c r="AQ53" i="15"/>
  <c r="AS51" i="15"/>
  <c r="AP50" i="15"/>
  <c r="AR48" i="15"/>
  <c r="AO47" i="15"/>
  <c r="AQ45" i="15"/>
  <c r="AS43" i="15"/>
  <c r="AP42" i="15"/>
  <c r="AR40" i="15"/>
  <c r="AR38" i="15"/>
  <c r="AR36" i="15"/>
  <c r="AQ34" i="15"/>
  <c r="AO32" i="15"/>
  <c r="AS28" i="15"/>
  <c r="AR25" i="15"/>
  <c r="AU20" i="15"/>
  <c r="AY16" i="15"/>
  <c r="AU9" i="15"/>
  <c r="AV89" i="15"/>
  <c r="AW78" i="15"/>
  <c r="AX65" i="15"/>
  <c r="AY52" i="15"/>
  <c r="AU40" i="15"/>
  <c r="AV27" i="15"/>
  <c r="BJ86" i="15"/>
  <c r="Y98" i="15"/>
  <c r="AO13" i="15"/>
  <c r="AS20" i="15"/>
  <c r="AS18" i="15"/>
  <c r="AS16" i="15"/>
  <c r="AS14" i="15"/>
  <c r="AS10" i="15"/>
  <c r="AS8" i="15"/>
  <c r="AO14" i="15"/>
  <c r="Z98" i="15"/>
  <c r="AO20" i="15"/>
  <c r="AO10" i="15"/>
  <c r="AR20" i="15"/>
  <c r="AR18" i="15"/>
  <c r="AR16" i="15"/>
  <c r="AR14" i="15"/>
  <c r="AR10" i="15"/>
  <c r="AR8" i="15"/>
  <c r="AO19" i="15"/>
  <c r="AO9" i="15"/>
  <c r="AQ20" i="15"/>
  <c r="AQ18" i="15"/>
  <c r="AQ16" i="15"/>
  <c r="AO18" i="15"/>
  <c r="AO8" i="15"/>
  <c r="AP20" i="15"/>
  <c r="AP18" i="15"/>
  <c r="AP16" i="15"/>
  <c r="AP14" i="15"/>
  <c r="AP10" i="15"/>
  <c r="AP8" i="15"/>
  <c r="AO17" i="15"/>
  <c r="AS19" i="15"/>
  <c r="AS17" i="15"/>
  <c r="AS15" i="15"/>
  <c r="AS13" i="15"/>
  <c r="AS9" i="15"/>
  <c r="AQ8" i="15"/>
  <c r="V96" i="15"/>
  <c r="V98" i="15" s="1"/>
  <c r="AO16" i="15"/>
  <c r="AQ7" i="15"/>
  <c r="AR19" i="15"/>
  <c r="AR17" i="15"/>
  <c r="AR15" i="15"/>
  <c r="AR13" i="15"/>
  <c r="AR9" i="15"/>
  <c r="AO15" i="15"/>
  <c r="AQ19" i="15"/>
  <c r="AQ17" i="15"/>
  <c r="AQ15" i="15"/>
  <c r="AQ13" i="15"/>
  <c r="L96" i="15"/>
  <c r="L21" i="15"/>
  <c r="H25" i="15"/>
  <c r="I25" i="15"/>
  <c r="J25" i="15"/>
  <c r="K25" i="15"/>
  <c r="H26" i="15"/>
  <c r="I26" i="15"/>
  <c r="J26" i="15"/>
  <c r="K26" i="15"/>
  <c r="H27" i="15"/>
  <c r="I27" i="15"/>
  <c r="J27" i="15"/>
  <c r="K27" i="15"/>
  <c r="H28" i="15"/>
  <c r="I28" i="15"/>
  <c r="J28" i="15"/>
  <c r="K28" i="15"/>
  <c r="H29" i="15"/>
  <c r="I29" i="15"/>
  <c r="J29" i="15"/>
  <c r="K29" i="15"/>
  <c r="H30" i="15"/>
  <c r="I30" i="15"/>
  <c r="J30" i="15"/>
  <c r="K30" i="15"/>
  <c r="H31" i="15"/>
  <c r="I31" i="15"/>
  <c r="J31" i="15"/>
  <c r="K31" i="15"/>
  <c r="H32" i="15"/>
  <c r="I32" i="15"/>
  <c r="J32" i="15"/>
  <c r="K32" i="15"/>
  <c r="H33" i="15"/>
  <c r="I33" i="15"/>
  <c r="J33" i="15"/>
  <c r="K33" i="15"/>
  <c r="H34" i="15"/>
  <c r="I34" i="15"/>
  <c r="J34" i="15"/>
  <c r="K34" i="15"/>
  <c r="H35" i="15"/>
  <c r="I35" i="15"/>
  <c r="J35" i="15"/>
  <c r="K35" i="15"/>
  <c r="H36" i="15"/>
  <c r="I36" i="15"/>
  <c r="J36" i="15"/>
  <c r="K36" i="15"/>
  <c r="H37" i="15"/>
  <c r="I37" i="15"/>
  <c r="J37" i="15"/>
  <c r="K37" i="15"/>
  <c r="H38" i="15"/>
  <c r="I38" i="15"/>
  <c r="J38" i="15"/>
  <c r="K38" i="15"/>
  <c r="H39" i="15"/>
  <c r="I39" i="15"/>
  <c r="J39" i="15"/>
  <c r="K39" i="15"/>
  <c r="H40" i="15"/>
  <c r="I40" i="15"/>
  <c r="J40" i="15"/>
  <c r="K40" i="15"/>
  <c r="H41" i="15"/>
  <c r="I41" i="15"/>
  <c r="J41" i="15"/>
  <c r="K41" i="15"/>
  <c r="H42" i="15"/>
  <c r="I42" i="15"/>
  <c r="J42" i="15"/>
  <c r="K42" i="15"/>
  <c r="H43" i="15"/>
  <c r="I43" i="15"/>
  <c r="J43" i="15"/>
  <c r="K43" i="15"/>
  <c r="H44" i="15"/>
  <c r="I44" i="15"/>
  <c r="J44" i="15"/>
  <c r="K44" i="15"/>
  <c r="H45" i="15"/>
  <c r="I45" i="15"/>
  <c r="J45" i="15"/>
  <c r="K45" i="15"/>
  <c r="H46" i="15"/>
  <c r="I46" i="15"/>
  <c r="J46" i="15"/>
  <c r="K46" i="15"/>
  <c r="H47" i="15"/>
  <c r="I47" i="15"/>
  <c r="J47" i="15"/>
  <c r="K47" i="15"/>
  <c r="H48" i="15"/>
  <c r="I48" i="15"/>
  <c r="J48" i="15"/>
  <c r="K48" i="15"/>
  <c r="H49" i="15"/>
  <c r="I49" i="15"/>
  <c r="J49" i="15"/>
  <c r="K49" i="15"/>
  <c r="H50" i="15"/>
  <c r="I50" i="15"/>
  <c r="J50" i="15"/>
  <c r="K50" i="15"/>
  <c r="H51" i="15"/>
  <c r="I51" i="15"/>
  <c r="J51" i="15"/>
  <c r="K51" i="15"/>
  <c r="H52" i="15"/>
  <c r="I52" i="15"/>
  <c r="J52" i="15"/>
  <c r="K52" i="15"/>
  <c r="H53" i="15"/>
  <c r="I53" i="15"/>
  <c r="J53" i="15"/>
  <c r="K53" i="15"/>
  <c r="H54" i="15"/>
  <c r="I54" i="15"/>
  <c r="J54" i="15"/>
  <c r="K54" i="15"/>
  <c r="H55" i="15"/>
  <c r="I55" i="15"/>
  <c r="J55" i="15"/>
  <c r="K55" i="15"/>
  <c r="H56" i="15"/>
  <c r="I56" i="15"/>
  <c r="J56" i="15"/>
  <c r="K56" i="15"/>
  <c r="H57" i="15"/>
  <c r="I57" i="15"/>
  <c r="J57" i="15"/>
  <c r="K57" i="15"/>
  <c r="H58" i="15"/>
  <c r="I58" i="15"/>
  <c r="J58" i="15"/>
  <c r="K58" i="15"/>
  <c r="H59" i="15"/>
  <c r="I59" i="15"/>
  <c r="J59" i="15"/>
  <c r="K59" i="15"/>
  <c r="H60" i="15"/>
  <c r="I60" i="15"/>
  <c r="J60" i="15"/>
  <c r="K60" i="15"/>
  <c r="H61" i="15"/>
  <c r="I61" i="15"/>
  <c r="J61" i="15"/>
  <c r="K61" i="15"/>
  <c r="H62" i="15"/>
  <c r="I62" i="15"/>
  <c r="J62" i="15"/>
  <c r="K62" i="15"/>
  <c r="H63" i="15"/>
  <c r="I63" i="15"/>
  <c r="J63" i="15"/>
  <c r="K63" i="15"/>
  <c r="H64" i="15"/>
  <c r="I64" i="15"/>
  <c r="J64" i="15"/>
  <c r="K64" i="15"/>
  <c r="H65" i="15"/>
  <c r="I65" i="15"/>
  <c r="J65" i="15"/>
  <c r="K65" i="15"/>
  <c r="H66" i="15"/>
  <c r="I66" i="15"/>
  <c r="J66" i="15"/>
  <c r="K66" i="15"/>
  <c r="H67" i="15"/>
  <c r="I67" i="15"/>
  <c r="J67" i="15"/>
  <c r="K67" i="15"/>
  <c r="H68" i="15"/>
  <c r="I68" i="15"/>
  <c r="J68" i="15"/>
  <c r="K68" i="15"/>
  <c r="H69" i="15"/>
  <c r="I69" i="15"/>
  <c r="J69" i="15"/>
  <c r="K69" i="15"/>
  <c r="H70" i="15"/>
  <c r="I70" i="15"/>
  <c r="J70" i="15"/>
  <c r="K70" i="15"/>
  <c r="H71" i="15"/>
  <c r="I71" i="15"/>
  <c r="J71" i="15"/>
  <c r="K71" i="15"/>
  <c r="H72" i="15"/>
  <c r="I72" i="15"/>
  <c r="J72" i="15"/>
  <c r="K72" i="15"/>
  <c r="H73" i="15"/>
  <c r="I73" i="15"/>
  <c r="J73" i="15"/>
  <c r="K73" i="15"/>
  <c r="H74" i="15"/>
  <c r="I74" i="15"/>
  <c r="J74" i="15"/>
  <c r="K74" i="15"/>
  <c r="H75" i="15"/>
  <c r="I75" i="15"/>
  <c r="J75" i="15"/>
  <c r="K75" i="15"/>
  <c r="H76" i="15"/>
  <c r="I76" i="15"/>
  <c r="J76" i="15"/>
  <c r="K76" i="15"/>
  <c r="H77" i="15"/>
  <c r="I77" i="15"/>
  <c r="J77" i="15"/>
  <c r="K77" i="15"/>
  <c r="H78" i="15"/>
  <c r="I78" i="15"/>
  <c r="J78" i="15"/>
  <c r="K78" i="15"/>
  <c r="H79" i="15"/>
  <c r="I79" i="15"/>
  <c r="J79" i="15"/>
  <c r="K79" i="15"/>
  <c r="H80" i="15"/>
  <c r="I80" i="15"/>
  <c r="J80" i="15"/>
  <c r="K80" i="15"/>
  <c r="H81" i="15"/>
  <c r="I81" i="15"/>
  <c r="J81" i="15"/>
  <c r="K81" i="15"/>
  <c r="H82" i="15"/>
  <c r="I82" i="15"/>
  <c r="J82" i="15"/>
  <c r="K82" i="15"/>
  <c r="H83" i="15"/>
  <c r="I83" i="15"/>
  <c r="J83" i="15"/>
  <c r="K83" i="15"/>
  <c r="H84" i="15"/>
  <c r="I84" i="15"/>
  <c r="J84" i="15"/>
  <c r="K84" i="15"/>
  <c r="H11" i="15"/>
  <c r="I11" i="15"/>
  <c r="J11" i="15"/>
  <c r="K11" i="15"/>
  <c r="H85" i="15"/>
  <c r="I85" i="15"/>
  <c r="J85" i="15"/>
  <c r="K85" i="15"/>
  <c r="H86" i="15"/>
  <c r="I86" i="15"/>
  <c r="J86" i="15"/>
  <c r="K86" i="15"/>
  <c r="H12" i="15"/>
  <c r="I12" i="15"/>
  <c r="J12" i="15"/>
  <c r="K12" i="15"/>
  <c r="H87" i="15"/>
  <c r="I87" i="15"/>
  <c r="J87" i="15"/>
  <c r="K87" i="15"/>
  <c r="H88" i="15"/>
  <c r="I88" i="15"/>
  <c r="J88" i="15"/>
  <c r="K88" i="15"/>
  <c r="H89" i="15"/>
  <c r="I89" i="15"/>
  <c r="J89" i="15"/>
  <c r="K89" i="15"/>
  <c r="K24" i="15"/>
  <c r="J24" i="15"/>
  <c r="I24" i="15"/>
  <c r="H24" i="15"/>
  <c r="H8" i="15"/>
  <c r="I8" i="15"/>
  <c r="J8" i="15"/>
  <c r="K8" i="15"/>
  <c r="H9" i="15"/>
  <c r="I9" i="15"/>
  <c r="J9" i="15"/>
  <c r="K9" i="15"/>
  <c r="H10" i="15"/>
  <c r="I10" i="15"/>
  <c r="J10" i="15"/>
  <c r="K10" i="15"/>
  <c r="H13" i="15"/>
  <c r="I13" i="15"/>
  <c r="J13" i="15"/>
  <c r="K13" i="15"/>
  <c r="H14" i="15"/>
  <c r="I14" i="15"/>
  <c r="J14" i="15"/>
  <c r="K14" i="15"/>
  <c r="H15" i="15"/>
  <c r="I15" i="15"/>
  <c r="J15" i="15"/>
  <c r="K15" i="15"/>
  <c r="H16" i="15"/>
  <c r="I16" i="15"/>
  <c r="J16" i="15"/>
  <c r="K16" i="15"/>
  <c r="H17" i="15"/>
  <c r="I17" i="15"/>
  <c r="J17" i="15"/>
  <c r="K17" i="15"/>
  <c r="H18" i="15"/>
  <c r="I18" i="15"/>
  <c r="J18" i="15"/>
  <c r="K18" i="15"/>
  <c r="H19" i="15"/>
  <c r="I19" i="15"/>
  <c r="J19" i="15"/>
  <c r="K19" i="15"/>
  <c r="H20" i="15"/>
  <c r="I20" i="15"/>
  <c r="J20" i="15"/>
  <c r="K20" i="15"/>
  <c r="H7" i="15"/>
  <c r="I7" i="15"/>
  <c r="J7" i="15"/>
  <c r="K7" i="15"/>
  <c r="AE17" i="3"/>
  <c r="AE18" i="3" s="1"/>
  <c r="AF17" i="3"/>
  <c r="AF18" i="3" s="1"/>
  <c r="AG17" i="3"/>
  <c r="AG18" i="3" s="1"/>
  <c r="AC17" i="3"/>
  <c r="AC18" i="3" s="1"/>
  <c r="AI86" i="12"/>
  <c r="AJ86" i="12"/>
  <c r="AK86" i="12"/>
  <c r="AL86" i="12"/>
  <c r="AM86" i="12"/>
  <c r="AN86" i="12"/>
  <c r="Z84" i="12"/>
  <c r="AG8" i="12"/>
  <c r="AG9" i="12"/>
  <c r="AG10" i="12"/>
  <c r="AG11" i="12"/>
  <c r="CO16" i="12" s="1"/>
  <c r="AG7" i="12"/>
  <c r="AS16" i="12" s="1"/>
  <c r="AD7" i="12"/>
  <c r="AP16" i="12" s="1"/>
  <c r="AE7" i="12"/>
  <c r="AQ16" i="12" s="1"/>
  <c r="AD8" i="12"/>
  <c r="AV16" i="12" s="1"/>
  <c r="AE8" i="12"/>
  <c r="AW16" i="12" s="1"/>
  <c r="AD9" i="12"/>
  <c r="AE9" i="12"/>
  <c r="AD10" i="12"/>
  <c r="CF16" i="12" s="1"/>
  <c r="AE10" i="12"/>
  <c r="CG16" i="12" s="1"/>
  <c r="AD11" i="12"/>
  <c r="CL16" i="12" s="1"/>
  <c r="AE11" i="12"/>
  <c r="Y17" i="3"/>
  <c r="Y18" i="3" s="1"/>
  <c r="X17" i="3"/>
  <c r="X18" i="3" s="1"/>
  <c r="AA17" i="3"/>
  <c r="AA18" i="3" s="1"/>
  <c r="H24" i="12"/>
  <c r="I24" i="12"/>
  <c r="J24" i="12"/>
  <c r="K24" i="12"/>
  <c r="H25" i="12"/>
  <c r="I25" i="12"/>
  <c r="J25" i="12"/>
  <c r="K25" i="12"/>
  <c r="H26" i="12"/>
  <c r="I26" i="12"/>
  <c r="J26" i="12"/>
  <c r="K26" i="12"/>
  <c r="H27" i="12"/>
  <c r="I27" i="12"/>
  <c r="J27" i="12"/>
  <c r="K27" i="12"/>
  <c r="H28" i="12"/>
  <c r="I28" i="12"/>
  <c r="J28" i="12"/>
  <c r="K28" i="12"/>
  <c r="H29" i="12"/>
  <c r="I29" i="12"/>
  <c r="J29" i="12"/>
  <c r="K29" i="12"/>
  <c r="H30" i="12"/>
  <c r="I30" i="12"/>
  <c r="J30" i="12"/>
  <c r="K30" i="12"/>
  <c r="H31" i="12"/>
  <c r="I31" i="12"/>
  <c r="J31" i="12"/>
  <c r="K31" i="12"/>
  <c r="H32" i="12"/>
  <c r="I32" i="12"/>
  <c r="J32" i="12"/>
  <c r="K32" i="12"/>
  <c r="H33" i="12"/>
  <c r="I33" i="12"/>
  <c r="J33" i="12"/>
  <c r="K33" i="12"/>
  <c r="H34" i="12"/>
  <c r="I34" i="12"/>
  <c r="J34" i="12"/>
  <c r="K34" i="12"/>
  <c r="H35" i="12"/>
  <c r="I35" i="12"/>
  <c r="J35" i="12"/>
  <c r="K35" i="12"/>
  <c r="H36" i="12"/>
  <c r="I36" i="12"/>
  <c r="J36" i="12"/>
  <c r="K36" i="12"/>
  <c r="H37" i="12"/>
  <c r="I37" i="12"/>
  <c r="J37" i="12"/>
  <c r="K37" i="12"/>
  <c r="H38" i="12"/>
  <c r="I38" i="12"/>
  <c r="J38" i="12"/>
  <c r="K38" i="12"/>
  <c r="H39" i="12"/>
  <c r="I39" i="12"/>
  <c r="J39" i="12"/>
  <c r="K39" i="12"/>
  <c r="H40" i="12"/>
  <c r="I40" i="12"/>
  <c r="J40" i="12"/>
  <c r="K40" i="12"/>
  <c r="H41" i="12"/>
  <c r="I41" i="12"/>
  <c r="J41" i="12"/>
  <c r="K41" i="12"/>
  <c r="H42" i="12"/>
  <c r="I42" i="12"/>
  <c r="J42" i="12"/>
  <c r="K42" i="12"/>
  <c r="H43" i="12"/>
  <c r="I43" i="12"/>
  <c r="J43" i="12"/>
  <c r="K43" i="12"/>
  <c r="H44" i="12"/>
  <c r="I44" i="12"/>
  <c r="J44" i="12"/>
  <c r="K44" i="12"/>
  <c r="H45" i="12"/>
  <c r="I45" i="12"/>
  <c r="J45" i="12"/>
  <c r="K45" i="12"/>
  <c r="H46" i="12"/>
  <c r="I46" i="12"/>
  <c r="J46" i="12"/>
  <c r="K46" i="12"/>
  <c r="H47" i="12"/>
  <c r="I47" i="12"/>
  <c r="J47" i="12"/>
  <c r="K47" i="12"/>
  <c r="H48" i="12"/>
  <c r="I48" i="12"/>
  <c r="J48" i="12"/>
  <c r="K48" i="12"/>
  <c r="H49" i="12"/>
  <c r="I49" i="12"/>
  <c r="J49" i="12"/>
  <c r="K49" i="12"/>
  <c r="H50" i="12"/>
  <c r="I50" i="12"/>
  <c r="J50" i="12"/>
  <c r="K50" i="12"/>
  <c r="H51" i="12"/>
  <c r="I51" i="12"/>
  <c r="J51" i="12"/>
  <c r="K51" i="12"/>
  <c r="H52" i="12"/>
  <c r="I52" i="12"/>
  <c r="J52" i="12"/>
  <c r="K52" i="12"/>
  <c r="H53" i="12"/>
  <c r="I53" i="12"/>
  <c r="J53" i="12"/>
  <c r="K53" i="12"/>
  <c r="H54" i="12"/>
  <c r="I54" i="12"/>
  <c r="J54" i="12"/>
  <c r="K54" i="12"/>
  <c r="H55" i="12"/>
  <c r="I55" i="12"/>
  <c r="J55" i="12"/>
  <c r="K55" i="12"/>
  <c r="H56" i="12"/>
  <c r="I56" i="12"/>
  <c r="J56" i="12"/>
  <c r="K56" i="12"/>
  <c r="H57" i="12"/>
  <c r="I57" i="12"/>
  <c r="J57" i="12"/>
  <c r="K57" i="12"/>
  <c r="H58" i="12"/>
  <c r="I58" i="12"/>
  <c r="J58" i="12"/>
  <c r="K58" i="12"/>
  <c r="H59" i="12"/>
  <c r="I59" i="12"/>
  <c r="J59" i="12"/>
  <c r="K59" i="12"/>
  <c r="H60" i="12"/>
  <c r="I60" i="12"/>
  <c r="J60" i="12"/>
  <c r="K60" i="12"/>
  <c r="H61" i="12"/>
  <c r="I61" i="12"/>
  <c r="J61" i="12"/>
  <c r="K61" i="12"/>
  <c r="H62" i="12"/>
  <c r="I62" i="12"/>
  <c r="J62" i="12"/>
  <c r="K62" i="12"/>
  <c r="H63" i="12"/>
  <c r="I63" i="12"/>
  <c r="J63" i="12"/>
  <c r="K63" i="12"/>
  <c r="H64" i="12"/>
  <c r="I64" i="12"/>
  <c r="J64" i="12"/>
  <c r="K64" i="12"/>
  <c r="H65" i="12"/>
  <c r="I65" i="12"/>
  <c r="J65" i="12"/>
  <c r="K65" i="12"/>
  <c r="H66" i="12"/>
  <c r="I66" i="12"/>
  <c r="J66" i="12"/>
  <c r="K66" i="12"/>
  <c r="H67" i="12"/>
  <c r="I67" i="12"/>
  <c r="J67" i="12"/>
  <c r="K67" i="12"/>
  <c r="H68" i="12"/>
  <c r="I68" i="12"/>
  <c r="J68" i="12"/>
  <c r="K68" i="12"/>
  <c r="H69" i="12"/>
  <c r="I69" i="12"/>
  <c r="J69" i="12"/>
  <c r="K69" i="12"/>
  <c r="H70" i="12"/>
  <c r="I70" i="12"/>
  <c r="J70" i="12"/>
  <c r="K70" i="12"/>
  <c r="H71" i="12"/>
  <c r="I71" i="12"/>
  <c r="J71" i="12"/>
  <c r="K71" i="12"/>
  <c r="H72" i="12"/>
  <c r="I72" i="12"/>
  <c r="J72" i="12"/>
  <c r="K72" i="12"/>
  <c r="H73" i="12"/>
  <c r="I73" i="12"/>
  <c r="J73" i="12"/>
  <c r="K73" i="12"/>
  <c r="H74" i="12"/>
  <c r="I74" i="12"/>
  <c r="J74" i="12"/>
  <c r="K74" i="12"/>
  <c r="H75" i="12"/>
  <c r="I75" i="12"/>
  <c r="J75" i="12"/>
  <c r="K75" i="12"/>
  <c r="H76" i="12"/>
  <c r="I76" i="12"/>
  <c r="J76" i="12"/>
  <c r="K76" i="12"/>
  <c r="H77" i="12"/>
  <c r="I77" i="12"/>
  <c r="J77" i="12"/>
  <c r="K77" i="12"/>
  <c r="H78" i="12"/>
  <c r="I78" i="12"/>
  <c r="J78" i="12"/>
  <c r="K78" i="12"/>
  <c r="H79" i="12"/>
  <c r="I79" i="12"/>
  <c r="J79" i="12"/>
  <c r="K79" i="12"/>
  <c r="H80" i="12"/>
  <c r="I80" i="12"/>
  <c r="J80" i="12"/>
  <c r="K80" i="12"/>
  <c r="H81" i="12"/>
  <c r="I81" i="12"/>
  <c r="J81" i="12"/>
  <c r="K81" i="12"/>
  <c r="H82" i="12"/>
  <c r="I82" i="12"/>
  <c r="J82" i="12"/>
  <c r="K82" i="12"/>
  <c r="H83" i="12"/>
  <c r="I83" i="12"/>
  <c r="J83" i="12"/>
  <c r="K83" i="12"/>
  <c r="K23" i="12"/>
  <c r="J23" i="12"/>
  <c r="I23" i="12"/>
  <c r="H23" i="12"/>
  <c r="H19" i="12"/>
  <c r="K8" i="12"/>
  <c r="H8" i="12"/>
  <c r="I8" i="12"/>
  <c r="J8" i="12"/>
  <c r="H9" i="12"/>
  <c r="I9" i="12"/>
  <c r="J9" i="12"/>
  <c r="K9" i="12"/>
  <c r="H10" i="12"/>
  <c r="I10" i="12"/>
  <c r="J10" i="12"/>
  <c r="K10" i="12"/>
  <c r="H11" i="12"/>
  <c r="I11" i="12"/>
  <c r="J11" i="12"/>
  <c r="K11" i="12"/>
  <c r="H12" i="12"/>
  <c r="I12" i="12"/>
  <c r="J12" i="12"/>
  <c r="K12" i="12"/>
  <c r="H13" i="12"/>
  <c r="I13" i="12"/>
  <c r="J13" i="12"/>
  <c r="K13" i="12"/>
  <c r="H14" i="12"/>
  <c r="I14" i="12"/>
  <c r="J14" i="12"/>
  <c r="K14" i="12"/>
  <c r="H15" i="12"/>
  <c r="I15" i="12"/>
  <c r="J15" i="12"/>
  <c r="K15" i="12"/>
  <c r="H17" i="12"/>
  <c r="I17" i="12"/>
  <c r="J17" i="12"/>
  <c r="K17" i="12"/>
  <c r="H18" i="12"/>
  <c r="I18" i="12"/>
  <c r="J18" i="12"/>
  <c r="K18" i="12"/>
  <c r="I19" i="12"/>
  <c r="J19" i="12"/>
  <c r="K19" i="12"/>
  <c r="H7" i="12"/>
  <c r="I7" i="12"/>
  <c r="J7" i="12"/>
  <c r="K7" i="12"/>
  <c r="W8" i="12"/>
  <c r="AA8" i="12" s="1"/>
  <c r="W9" i="12"/>
  <c r="AA9" i="12" s="1"/>
  <c r="W10" i="12"/>
  <c r="AA10" i="12" s="1"/>
  <c r="W23" i="12"/>
  <c r="AA23" i="12" s="1"/>
  <c r="W24" i="12"/>
  <c r="AA24" i="12" s="1"/>
  <c r="W25" i="12"/>
  <c r="AA25" i="12" s="1"/>
  <c r="W26" i="12"/>
  <c r="AA26" i="12" s="1"/>
  <c r="W27" i="12"/>
  <c r="AA27" i="12" s="1"/>
  <c r="W28" i="12"/>
  <c r="AA28" i="12" s="1"/>
  <c r="W29" i="12"/>
  <c r="AA29" i="12" s="1"/>
  <c r="W30" i="12"/>
  <c r="AA30" i="12" s="1"/>
  <c r="W31" i="12"/>
  <c r="AA31" i="12" s="1"/>
  <c r="W32" i="12"/>
  <c r="AA32" i="12" s="1"/>
  <c r="W33" i="12"/>
  <c r="AA33" i="12" s="1"/>
  <c r="W34" i="12"/>
  <c r="AA34" i="12" s="1"/>
  <c r="W35" i="12"/>
  <c r="AA35" i="12" s="1"/>
  <c r="W36" i="12"/>
  <c r="AA36" i="12" s="1"/>
  <c r="W37" i="12"/>
  <c r="AA37" i="12" s="1"/>
  <c r="W38" i="12"/>
  <c r="AA38" i="12" s="1"/>
  <c r="W39" i="12"/>
  <c r="AA39" i="12" s="1"/>
  <c r="W40" i="12"/>
  <c r="AA40" i="12" s="1"/>
  <c r="W41" i="12"/>
  <c r="AA41" i="12" s="1"/>
  <c r="W42" i="12"/>
  <c r="AA42" i="12" s="1"/>
  <c r="W43" i="12"/>
  <c r="AA43" i="12" s="1"/>
  <c r="W44" i="12"/>
  <c r="AA44" i="12" s="1"/>
  <c r="W45" i="12"/>
  <c r="AA45" i="12" s="1"/>
  <c r="W46" i="12"/>
  <c r="AA46" i="12" s="1"/>
  <c r="W47" i="12"/>
  <c r="AA47" i="12" s="1"/>
  <c r="W48" i="12"/>
  <c r="AA48" i="12" s="1"/>
  <c r="W49" i="12"/>
  <c r="AA49" i="12" s="1"/>
  <c r="W50" i="12"/>
  <c r="AA50" i="12" s="1"/>
  <c r="W51" i="12"/>
  <c r="AA51" i="12" s="1"/>
  <c r="W52" i="12"/>
  <c r="AA52" i="12" s="1"/>
  <c r="W53" i="12"/>
  <c r="AA53" i="12" s="1"/>
  <c r="W54" i="12"/>
  <c r="AA54" i="12" s="1"/>
  <c r="W55" i="12"/>
  <c r="AA55" i="12" s="1"/>
  <c r="W56" i="12"/>
  <c r="AA56" i="12" s="1"/>
  <c r="W57" i="12"/>
  <c r="AA57" i="12" s="1"/>
  <c r="W58" i="12"/>
  <c r="AA58" i="12" s="1"/>
  <c r="W59" i="12"/>
  <c r="AA59" i="12" s="1"/>
  <c r="W60" i="12"/>
  <c r="AA60" i="12" s="1"/>
  <c r="W61" i="12"/>
  <c r="AA61" i="12" s="1"/>
  <c r="W62" i="12"/>
  <c r="AA62" i="12" s="1"/>
  <c r="W63" i="12"/>
  <c r="AA63" i="12" s="1"/>
  <c r="W64" i="12"/>
  <c r="AA64" i="12" s="1"/>
  <c r="W65" i="12"/>
  <c r="AA65" i="12" s="1"/>
  <c r="W66" i="12"/>
  <c r="AA66" i="12" s="1"/>
  <c r="W67" i="12"/>
  <c r="AA67" i="12" s="1"/>
  <c r="W68" i="12"/>
  <c r="AA68" i="12" s="1"/>
  <c r="W69" i="12"/>
  <c r="AA69" i="12" s="1"/>
  <c r="W70" i="12"/>
  <c r="AA70" i="12" s="1"/>
  <c r="W71" i="12"/>
  <c r="AA71" i="12" s="1"/>
  <c r="W72" i="12"/>
  <c r="AA72" i="12" s="1"/>
  <c r="W73" i="12"/>
  <c r="AA73" i="12" s="1"/>
  <c r="W74" i="12"/>
  <c r="AA74" i="12" s="1"/>
  <c r="W75" i="12"/>
  <c r="AA75" i="12" s="1"/>
  <c r="W76" i="12"/>
  <c r="AA76" i="12" s="1"/>
  <c r="W77" i="12"/>
  <c r="AA77" i="12" s="1"/>
  <c r="W78" i="12"/>
  <c r="AA78" i="12" s="1"/>
  <c r="W11" i="12"/>
  <c r="AA11" i="12" s="1"/>
  <c r="W79" i="12"/>
  <c r="AA79" i="12" s="1"/>
  <c r="W80" i="12"/>
  <c r="AA80" i="12" s="1"/>
  <c r="W12" i="12"/>
  <c r="AA12" i="12" s="1"/>
  <c r="W13" i="12"/>
  <c r="AA13" i="12" s="1"/>
  <c r="W14" i="12"/>
  <c r="AA14" i="12" s="1"/>
  <c r="W15" i="12"/>
  <c r="AA15" i="12" s="1"/>
  <c r="W17" i="12"/>
  <c r="AA17" i="12" s="1"/>
  <c r="W18" i="12"/>
  <c r="AA18" i="12" s="1"/>
  <c r="W19" i="12"/>
  <c r="AA19" i="12" s="1"/>
  <c r="W81" i="12"/>
  <c r="AA81" i="12" s="1"/>
  <c r="W82" i="12"/>
  <c r="AA82" i="12" s="1"/>
  <c r="W83" i="12"/>
  <c r="AA83" i="12" s="1"/>
  <c r="W7" i="12"/>
  <c r="AA7" i="12" s="1"/>
  <c r="L98" i="15" l="1"/>
  <c r="I23" i="28"/>
  <c r="I37" i="28" s="1"/>
  <c r="E23" i="28"/>
  <c r="H23" i="28"/>
  <c r="H37" i="28" s="1"/>
  <c r="G23" i="28"/>
  <c r="G37" i="28" s="1"/>
  <c r="AO21" i="15"/>
  <c r="AP21" i="15"/>
  <c r="CL21" i="15"/>
  <c r="BH21" i="15"/>
  <c r="CF21" i="15"/>
  <c r="AV21" i="15"/>
  <c r="AQ21" i="15"/>
  <c r="BI21" i="15"/>
  <c r="AW21" i="15"/>
  <c r="CG21" i="15"/>
  <c r="CM21" i="15"/>
  <c r="BG21" i="15"/>
  <c r="CK21" i="15"/>
  <c r="CE21" i="15"/>
  <c r="AU21" i="15"/>
  <c r="CH21" i="15"/>
  <c r="CN21" i="15"/>
  <c r="AR21" i="15"/>
  <c r="AX21" i="15"/>
  <c r="BJ21" i="15"/>
  <c r="CI34" i="12"/>
  <c r="CI16" i="12"/>
  <c r="CM67" i="12"/>
  <c r="CM16" i="12"/>
  <c r="AY30" i="12"/>
  <c r="AY16" i="12"/>
  <c r="W98" i="15"/>
  <c r="AV96" i="15"/>
  <c r="AU96" i="15"/>
  <c r="AS36" i="12"/>
  <c r="AG20" i="12"/>
  <c r="AQ55" i="12"/>
  <c r="AE20" i="12"/>
  <c r="AD20" i="12"/>
  <c r="AQ23" i="12"/>
  <c r="AQ12" i="12"/>
  <c r="AQ51" i="12"/>
  <c r="AQ17" i="12"/>
  <c r="AP51" i="12"/>
  <c r="AP55" i="12"/>
  <c r="X20" i="12"/>
  <c r="CF35" i="12"/>
  <c r="CO31" i="12"/>
  <c r="W20" i="12"/>
  <c r="AW28" i="12"/>
  <c r="W84" i="12"/>
  <c r="AV67" i="12"/>
  <c r="CM59" i="12"/>
  <c r="AQ30" i="12"/>
  <c r="CL39" i="12"/>
  <c r="AP28" i="12"/>
  <c r="CG27" i="12"/>
  <c r="Z20" i="12"/>
  <c r="Z86" i="12" s="1"/>
  <c r="I22" i="28" s="1"/>
  <c r="I36" i="28" s="1"/>
  <c r="AO96" i="15"/>
  <c r="AO98" i="15" s="1"/>
  <c r="AX96" i="15"/>
  <c r="AS96" i="15"/>
  <c r="AS7" i="12"/>
  <c r="AP77" i="12"/>
  <c r="AP61" i="12"/>
  <c r="AQ33" i="12"/>
  <c r="AS53" i="12"/>
  <c r="CI64" i="12"/>
  <c r="BI96" i="15"/>
  <c r="AP23" i="12"/>
  <c r="AQ76" i="12"/>
  <c r="AP60" i="12"/>
  <c r="AP33" i="12"/>
  <c r="AS48" i="12"/>
  <c r="CG40" i="12"/>
  <c r="CN96" i="15"/>
  <c r="CL96" i="15"/>
  <c r="AY96" i="15"/>
  <c r="AS11" i="12"/>
  <c r="AS23" i="12"/>
  <c r="AP76" i="12"/>
  <c r="AP56" i="12"/>
  <c r="AP32" i="12"/>
  <c r="AS38" i="12"/>
  <c r="AV59" i="12"/>
  <c r="CI28" i="12"/>
  <c r="AP96" i="15"/>
  <c r="AP72" i="12"/>
  <c r="AP47" i="12"/>
  <c r="AP29" i="12"/>
  <c r="AV39" i="12"/>
  <c r="CL12" i="12"/>
  <c r="AR96" i="15"/>
  <c r="CM96" i="15"/>
  <c r="CO21" i="15"/>
  <c r="AW96" i="15"/>
  <c r="AQ96" i="15"/>
  <c r="CE96" i="15"/>
  <c r="AP69" i="12"/>
  <c r="AP46" i="12"/>
  <c r="AP24" i="12"/>
  <c r="CL81" i="12"/>
  <c r="BJ96" i="15"/>
  <c r="BG96" i="15"/>
  <c r="AP81" i="12"/>
  <c r="AQ68" i="12"/>
  <c r="AP38" i="12"/>
  <c r="AS83" i="12"/>
  <c r="CO80" i="12"/>
  <c r="CF96" i="15"/>
  <c r="CG96" i="15"/>
  <c r="AY21" i="15"/>
  <c r="AQ80" i="12"/>
  <c r="AP68" i="12"/>
  <c r="AQ37" i="12"/>
  <c r="AS78" i="12"/>
  <c r="CG77" i="12"/>
  <c r="CL53" i="12"/>
  <c r="AS21" i="15"/>
  <c r="BK21" i="15"/>
  <c r="CO96" i="15"/>
  <c r="CI21" i="15"/>
  <c r="CH96" i="15"/>
  <c r="BH96" i="15"/>
  <c r="AQ11" i="12"/>
  <c r="AP80" i="12"/>
  <c r="AP65" i="12"/>
  <c r="AP37" i="12"/>
  <c r="AS76" i="12"/>
  <c r="CG65" i="12"/>
  <c r="CL38" i="12"/>
  <c r="BK96" i="15"/>
  <c r="CI96" i="15"/>
  <c r="CK96" i="15"/>
  <c r="AQ46" i="12"/>
  <c r="AS77" i="12"/>
  <c r="AS39" i="12"/>
  <c r="AV25" i="12"/>
  <c r="CF65" i="12"/>
  <c r="CF29" i="12"/>
  <c r="CO66" i="12"/>
  <c r="AQ64" i="12"/>
  <c r="AQ42" i="12"/>
  <c r="CG8" i="12"/>
  <c r="CO52" i="12"/>
  <c r="CF9" i="12"/>
  <c r="AS64" i="12"/>
  <c r="AS37" i="12"/>
  <c r="CG53" i="12"/>
  <c r="CF28" i="12"/>
  <c r="AP73" i="12"/>
  <c r="AP64" i="12"/>
  <c r="AP42" i="12"/>
  <c r="AS63" i="12"/>
  <c r="AS28" i="12"/>
  <c r="CF8" i="12"/>
  <c r="CF53" i="12"/>
  <c r="CM12" i="12"/>
  <c r="AQ72" i="12"/>
  <c r="AS62" i="12"/>
  <c r="AS24" i="12"/>
  <c r="AV75" i="12"/>
  <c r="CI77" i="12"/>
  <c r="CI52" i="12"/>
  <c r="CM38" i="12"/>
  <c r="CF41" i="12"/>
  <c r="CO81" i="12"/>
  <c r="AS82" i="12"/>
  <c r="AS52" i="12"/>
  <c r="AV53" i="12"/>
  <c r="CF77" i="12"/>
  <c r="CI40" i="12"/>
  <c r="AQ27" i="12"/>
  <c r="AV19" i="12"/>
  <c r="AW74" i="12"/>
  <c r="AW58" i="12"/>
  <c r="AV45" i="12"/>
  <c r="CL27" i="12"/>
  <c r="CL35" i="12"/>
  <c r="CL43" i="12"/>
  <c r="CL51" i="12"/>
  <c r="CL59" i="12"/>
  <c r="CL67" i="12"/>
  <c r="CL75" i="12"/>
  <c r="CL25" i="12"/>
  <c r="CL28" i="12"/>
  <c r="CL36" i="12"/>
  <c r="CL44" i="12"/>
  <c r="CL52" i="12"/>
  <c r="CL60" i="12"/>
  <c r="CL68" i="12"/>
  <c r="CL76" i="12"/>
  <c r="CL11" i="12"/>
  <c r="CL24" i="12"/>
  <c r="CL32" i="12"/>
  <c r="CL50" i="12"/>
  <c r="CL57" i="12"/>
  <c r="CL64" i="12"/>
  <c r="CL10" i="12"/>
  <c r="CL13" i="12"/>
  <c r="CL17" i="12"/>
  <c r="CL29" i="12"/>
  <c r="CL47" i="12"/>
  <c r="CL54" i="12"/>
  <c r="CL61" i="12"/>
  <c r="CL79" i="12"/>
  <c r="CL7" i="12"/>
  <c r="CL26" i="12"/>
  <c r="CL33" i="12"/>
  <c r="CL40" i="12"/>
  <c r="CL58" i="12"/>
  <c r="CL65" i="12"/>
  <c r="CL72" i="12"/>
  <c r="CL23" i="12"/>
  <c r="CL14" i="12"/>
  <c r="CL18" i="12"/>
  <c r="CL34" i="12"/>
  <c r="CL41" i="12"/>
  <c r="CL48" i="12"/>
  <c r="CL66" i="12"/>
  <c r="CL73" i="12"/>
  <c r="CL80" i="12"/>
  <c r="CL55" i="12"/>
  <c r="CL62" i="12"/>
  <c r="CL69" i="12"/>
  <c r="CL8" i="12"/>
  <c r="CL63" i="12"/>
  <c r="CL70" i="12"/>
  <c r="CL77" i="12"/>
  <c r="CL9" i="12"/>
  <c r="CL15" i="12"/>
  <c r="CL42" i="12"/>
  <c r="CL49" i="12"/>
  <c r="CL56" i="12"/>
  <c r="CL71" i="12"/>
  <c r="CL78" i="12"/>
  <c r="AP10" i="12"/>
  <c r="AQ83" i="12"/>
  <c r="AQ79" i="12"/>
  <c r="AQ75" i="12"/>
  <c r="AQ71" i="12"/>
  <c r="AQ67" i="12"/>
  <c r="AQ63" i="12"/>
  <c r="AP59" i="12"/>
  <c r="AQ54" i="12"/>
  <c r="AP50" i="12"/>
  <c r="AQ45" i="12"/>
  <c r="AP41" i="12"/>
  <c r="AP36" i="12"/>
  <c r="AQ31" i="12"/>
  <c r="AP27" i="12"/>
  <c r="AS72" i="12"/>
  <c r="AS61" i="12"/>
  <c r="AS47" i="12"/>
  <c r="X84" i="12"/>
  <c r="AV14" i="12"/>
  <c r="AW15" i="12"/>
  <c r="AY13" i="12"/>
  <c r="AV83" i="12"/>
  <c r="AY77" i="12"/>
  <c r="AV74" i="12"/>
  <c r="AY68" i="12"/>
  <c r="AW63" i="12"/>
  <c r="AV58" i="12"/>
  <c r="AV52" i="12"/>
  <c r="AY44" i="12"/>
  <c r="AW37" i="12"/>
  <c r="CF7" i="12"/>
  <c r="CI23" i="12"/>
  <c r="CF76" i="12"/>
  <c r="CF64" i="12"/>
  <c r="CI51" i="12"/>
  <c r="CI39" i="12"/>
  <c r="CM11" i="12"/>
  <c r="CO79" i="12"/>
  <c r="CO65" i="12"/>
  <c r="CM51" i="12"/>
  <c r="CL37" i="12"/>
  <c r="AY29" i="12"/>
  <c r="AY37" i="12"/>
  <c r="AY45" i="12"/>
  <c r="AY53" i="12"/>
  <c r="AY24" i="12"/>
  <c r="AY32" i="12"/>
  <c r="AY40" i="12"/>
  <c r="AY48" i="12"/>
  <c r="AY28" i="12"/>
  <c r="AY42" i="12"/>
  <c r="AY46" i="12"/>
  <c r="AY56" i="12"/>
  <c r="AY64" i="12"/>
  <c r="AY72" i="12"/>
  <c r="AY80" i="12"/>
  <c r="AY15" i="12"/>
  <c r="AY25" i="12"/>
  <c r="AY39" i="12"/>
  <c r="AY43" i="12"/>
  <c r="AY59" i="12"/>
  <c r="AY67" i="12"/>
  <c r="AY75" i="12"/>
  <c r="AY8" i="12"/>
  <c r="AY17" i="12"/>
  <c r="AY36" i="12"/>
  <c r="AY50" i="12"/>
  <c r="AY54" i="12"/>
  <c r="AY62" i="12"/>
  <c r="AY70" i="12"/>
  <c r="AY78" i="12"/>
  <c r="AY82" i="12"/>
  <c r="AY9" i="12"/>
  <c r="AY18" i="12"/>
  <c r="AY33" i="12"/>
  <c r="AY47" i="12"/>
  <c r="AY51" i="12"/>
  <c r="AY57" i="12"/>
  <c r="AY65" i="12"/>
  <c r="AY73" i="12"/>
  <c r="AW19" i="12"/>
  <c r="AY79" i="12"/>
  <c r="AW64" i="12"/>
  <c r="AW46" i="12"/>
  <c r="AW79" i="12"/>
  <c r="AY38" i="12"/>
  <c r="AW17" i="12"/>
  <c r="CG28" i="12"/>
  <c r="CG36" i="12"/>
  <c r="CG44" i="12"/>
  <c r="CG52" i="12"/>
  <c r="CG60" i="12"/>
  <c r="CG68" i="12"/>
  <c r="CG76" i="12"/>
  <c r="CG11" i="12"/>
  <c r="CG7" i="12"/>
  <c r="CG26" i="12"/>
  <c r="CG29" i="12"/>
  <c r="CG32" i="12"/>
  <c r="CG35" i="12"/>
  <c r="CG38" i="12"/>
  <c r="CG41" i="12"/>
  <c r="CG83" i="12"/>
  <c r="CG9" i="12"/>
  <c r="CG12" i="12"/>
  <c r="CG15" i="12"/>
  <c r="CG19" i="12"/>
  <c r="CG63" i="12"/>
  <c r="CG66" i="12"/>
  <c r="CG69" i="12"/>
  <c r="CG72" i="12"/>
  <c r="CG75" i="12"/>
  <c r="CG78" i="12"/>
  <c r="CG81" i="12"/>
  <c r="CG39" i="12"/>
  <c r="CG42" i="12"/>
  <c r="CG45" i="12"/>
  <c r="CG48" i="12"/>
  <c r="CG51" i="12"/>
  <c r="CG54" i="12"/>
  <c r="CG57" i="12"/>
  <c r="CG55" i="12"/>
  <c r="CG58" i="12"/>
  <c r="CG61" i="12"/>
  <c r="CG64" i="12"/>
  <c r="CG67" i="12"/>
  <c r="CG70" i="12"/>
  <c r="CG73" i="12"/>
  <c r="CG23" i="12"/>
  <c r="CG24" i="12"/>
  <c r="CG30" i="12"/>
  <c r="CG79" i="12"/>
  <c r="CG10" i="12"/>
  <c r="CG17" i="12"/>
  <c r="CG31" i="12"/>
  <c r="CG37" i="12"/>
  <c r="CG43" i="12"/>
  <c r="CG49" i="12"/>
  <c r="CG18" i="12"/>
  <c r="CG25" i="12"/>
  <c r="CG74" i="12"/>
  <c r="CG80" i="12"/>
  <c r="CG82" i="12"/>
  <c r="CG50" i="12"/>
  <c r="CG56" i="12"/>
  <c r="CG62" i="12"/>
  <c r="AS14" i="12"/>
  <c r="AS25" i="12"/>
  <c r="AS33" i="12"/>
  <c r="AS41" i="12"/>
  <c r="AS49" i="12"/>
  <c r="AS57" i="12"/>
  <c r="AS65" i="12"/>
  <c r="AS73" i="12"/>
  <c r="AS81" i="12"/>
  <c r="AS26" i="12"/>
  <c r="AS34" i="12"/>
  <c r="AS42" i="12"/>
  <c r="AS50" i="12"/>
  <c r="AS58" i="12"/>
  <c r="AS66" i="12"/>
  <c r="AS74" i="12"/>
  <c r="AS27" i="12"/>
  <c r="AS35" i="12"/>
  <c r="AS43" i="12"/>
  <c r="AS51" i="12"/>
  <c r="AS59" i="12"/>
  <c r="AS67" i="12"/>
  <c r="AS75" i="12"/>
  <c r="AP83" i="12"/>
  <c r="AP79" i="12"/>
  <c r="AP75" i="12"/>
  <c r="AP71" i="12"/>
  <c r="AP67" i="12"/>
  <c r="AP63" i="12"/>
  <c r="AQ58" i="12"/>
  <c r="AP54" i="12"/>
  <c r="AQ49" i="12"/>
  <c r="AP45" i="12"/>
  <c r="AP40" i="12"/>
  <c r="AQ35" i="12"/>
  <c r="AP31" i="12"/>
  <c r="AQ26" i="12"/>
  <c r="AS71" i="12"/>
  <c r="AS60" i="12"/>
  <c r="AS46" i="12"/>
  <c r="AS32" i="12"/>
  <c r="AV13" i="12"/>
  <c r="AW14" i="12"/>
  <c r="AY12" i="12"/>
  <c r="AW77" i="12"/>
  <c r="AW72" i="12"/>
  <c r="AY61" i="12"/>
  <c r="AW56" i="12"/>
  <c r="AY49" i="12"/>
  <c r="AW42" i="12"/>
  <c r="AY35" i="12"/>
  <c r="CF15" i="12"/>
  <c r="CI71" i="12"/>
  <c r="CG59" i="12"/>
  <c r="CG47" i="12"/>
  <c r="CO19" i="12"/>
  <c r="CO83" i="12"/>
  <c r="CM74" i="12"/>
  <c r="CM60" i="12"/>
  <c r="CL46" i="12"/>
  <c r="AW24" i="12"/>
  <c r="AW32" i="12"/>
  <c r="AW40" i="12"/>
  <c r="AW48" i="12"/>
  <c r="AW27" i="12"/>
  <c r="AW35" i="12"/>
  <c r="AW43" i="12"/>
  <c r="AW51" i="12"/>
  <c r="AW25" i="12"/>
  <c r="AW39" i="12"/>
  <c r="AW53" i="12"/>
  <c r="AW59" i="12"/>
  <c r="AW67" i="12"/>
  <c r="AW75" i="12"/>
  <c r="AW11" i="12"/>
  <c r="AW7" i="12"/>
  <c r="AW36" i="12"/>
  <c r="AW50" i="12"/>
  <c r="AW54" i="12"/>
  <c r="AW62" i="12"/>
  <c r="AW70" i="12"/>
  <c r="AW78" i="12"/>
  <c r="AW82" i="12"/>
  <c r="AW12" i="12"/>
  <c r="AW29" i="12"/>
  <c r="AW33" i="12"/>
  <c r="AW47" i="12"/>
  <c r="AW57" i="12"/>
  <c r="AW65" i="12"/>
  <c r="AW73" i="12"/>
  <c r="AW81" i="12"/>
  <c r="AW13" i="12"/>
  <c r="AW26" i="12"/>
  <c r="AW30" i="12"/>
  <c r="AW44" i="12"/>
  <c r="AW60" i="12"/>
  <c r="AW68" i="12"/>
  <c r="AY23" i="12"/>
  <c r="CO12" i="12"/>
  <c r="AV27" i="12"/>
  <c r="AV35" i="12"/>
  <c r="AV43" i="12"/>
  <c r="AV51" i="12"/>
  <c r="AV30" i="12"/>
  <c r="AV38" i="12"/>
  <c r="AV46" i="12"/>
  <c r="AV54" i="12"/>
  <c r="AV32" i="12"/>
  <c r="AV36" i="12"/>
  <c r="AV50" i="12"/>
  <c r="AV62" i="12"/>
  <c r="AV70" i="12"/>
  <c r="AV78" i="12"/>
  <c r="AV82" i="12"/>
  <c r="AV23" i="12"/>
  <c r="AV15" i="12"/>
  <c r="AV29" i="12"/>
  <c r="AV33" i="12"/>
  <c r="AV47" i="12"/>
  <c r="AV57" i="12"/>
  <c r="AV65" i="12"/>
  <c r="AV73" i="12"/>
  <c r="AV81" i="12"/>
  <c r="AV8" i="12"/>
  <c r="AV17" i="12"/>
  <c r="AV26" i="12"/>
  <c r="AV40" i="12"/>
  <c r="AV44" i="12"/>
  <c r="AV60" i="12"/>
  <c r="AV68" i="12"/>
  <c r="AV76" i="12"/>
  <c r="AV9" i="12"/>
  <c r="AV18" i="12"/>
  <c r="AV37" i="12"/>
  <c r="AV41" i="12"/>
  <c r="AV55" i="12"/>
  <c r="AV63" i="12"/>
  <c r="AV71" i="12"/>
  <c r="AV7" i="12"/>
  <c r="AY58" i="12"/>
  <c r="AV24" i="12"/>
  <c r="AV79" i="12"/>
  <c r="AV31" i="12"/>
  <c r="CF31" i="12"/>
  <c r="CF39" i="12"/>
  <c r="CF47" i="12"/>
  <c r="CF55" i="12"/>
  <c r="CF63" i="12"/>
  <c r="CF71" i="12"/>
  <c r="CF79" i="12"/>
  <c r="CF83" i="12"/>
  <c r="CF14" i="12"/>
  <c r="CF66" i="12"/>
  <c r="CF69" i="12"/>
  <c r="CF72" i="12"/>
  <c r="CF75" i="12"/>
  <c r="CF78" i="12"/>
  <c r="CF81" i="12"/>
  <c r="CF42" i="12"/>
  <c r="CF45" i="12"/>
  <c r="CF48" i="12"/>
  <c r="CF51" i="12"/>
  <c r="CF54" i="12"/>
  <c r="CF57" i="12"/>
  <c r="CF60" i="12"/>
  <c r="CF24" i="12"/>
  <c r="CF27" i="12"/>
  <c r="CF30" i="12"/>
  <c r="CF33" i="12"/>
  <c r="CF36" i="12"/>
  <c r="CF23" i="12"/>
  <c r="CF10" i="12"/>
  <c r="CF13" i="12"/>
  <c r="CF17" i="12"/>
  <c r="CF34" i="12"/>
  <c r="CF37" i="12"/>
  <c r="CF40" i="12"/>
  <c r="CF43" i="12"/>
  <c r="CF46" i="12"/>
  <c r="CF49" i="12"/>
  <c r="CF52" i="12"/>
  <c r="CF18" i="12"/>
  <c r="CF61" i="12"/>
  <c r="CF67" i="12"/>
  <c r="CF73" i="12"/>
  <c r="CF25" i="12"/>
  <c r="CF74" i="12"/>
  <c r="CF80" i="12"/>
  <c r="CF82" i="12"/>
  <c r="CF11" i="12"/>
  <c r="CF50" i="12"/>
  <c r="CF56" i="12"/>
  <c r="CF62" i="12"/>
  <c r="CF68" i="12"/>
  <c r="CF26" i="12"/>
  <c r="CF32" i="12"/>
  <c r="CF38" i="12"/>
  <c r="CF44" i="12"/>
  <c r="CF12" i="12"/>
  <c r="CF19" i="12"/>
  <c r="CO29" i="12"/>
  <c r="CO37" i="12"/>
  <c r="CO45" i="12"/>
  <c r="CO53" i="12"/>
  <c r="CO61" i="12"/>
  <c r="CO69" i="12"/>
  <c r="CO77" i="12"/>
  <c r="CO30" i="12"/>
  <c r="CO38" i="12"/>
  <c r="CO46" i="12"/>
  <c r="CO54" i="12"/>
  <c r="CO62" i="12"/>
  <c r="CO70" i="12"/>
  <c r="CO78" i="12"/>
  <c r="CO82" i="12"/>
  <c r="CO13" i="12"/>
  <c r="CO7" i="12"/>
  <c r="CO25" i="12"/>
  <c r="CO28" i="12"/>
  <c r="CO35" i="12"/>
  <c r="CO42" i="12"/>
  <c r="CO60" i="12"/>
  <c r="CO67" i="12"/>
  <c r="CO74" i="12"/>
  <c r="CO23" i="12"/>
  <c r="CO24" i="12"/>
  <c r="CO32" i="12"/>
  <c r="CO39" i="12"/>
  <c r="CO57" i="12"/>
  <c r="CO64" i="12"/>
  <c r="CO71" i="12"/>
  <c r="CO17" i="12"/>
  <c r="CO36" i="12"/>
  <c r="CO43" i="12"/>
  <c r="CO50" i="12"/>
  <c r="CO68" i="12"/>
  <c r="CO75" i="12"/>
  <c r="CO10" i="12"/>
  <c r="CO26" i="12"/>
  <c r="CO44" i="12"/>
  <c r="CO51" i="12"/>
  <c r="CO58" i="12"/>
  <c r="CO76" i="12"/>
  <c r="CO8" i="12"/>
  <c r="CO11" i="12"/>
  <c r="CO14" i="12"/>
  <c r="CO18" i="12"/>
  <c r="CO33" i="12"/>
  <c r="CO40" i="12"/>
  <c r="CO47" i="12"/>
  <c r="CO41" i="12"/>
  <c r="CO48" i="12"/>
  <c r="CO55" i="12"/>
  <c r="CO27" i="12"/>
  <c r="CO34" i="12"/>
  <c r="CO49" i="12"/>
  <c r="CO56" i="12"/>
  <c r="CO63" i="12"/>
  <c r="CO9" i="12"/>
  <c r="CO15" i="12"/>
  <c r="AQ82" i="12"/>
  <c r="AQ78" i="12"/>
  <c r="AQ74" i="12"/>
  <c r="AQ70" i="12"/>
  <c r="AQ66" i="12"/>
  <c r="AQ62" i="12"/>
  <c r="AP58" i="12"/>
  <c r="AQ53" i="12"/>
  <c r="AP49" i="12"/>
  <c r="AP44" i="12"/>
  <c r="AQ39" i="12"/>
  <c r="AP35" i="12"/>
  <c r="AP26" i="12"/>
  <c r="AS70" i="12"/>
  <c r="AS56" i="12"/>
  <c r="AS45" i="12"/>
  <c r="AS31" i="12"/>
  <c r="AV12" i="12"/>
  <c r="AW10" i="12"/>
  <c r="AY11" i="12"/>
  <c r="AY81" i="12"/>
  <c r="AV77" i="12"/>
  <c r="AV72" i="12"/>
  <c r="AY66" i="12"/>
  <c r="AW61" i="12"/>
  <c r="AV56" i="12"/>
  <c r="AW49" i="12"/>
  <c r="AV42" i="12"/>
  <c r="AY34" i="12"/>
  <c r="AV28" i="12"/>
  <c r="CI14" i="12"/>
  <c r="CG71" i="12"/>
  <c r="CF59" i="12"/>
  <c r="CI46" i="12"/>
  <c r="CM19" i="12"/>
  <c r="CM83" i="12"/>
  <c r="CL74" i="12"/>
  <c r="CO59" i="12"/>
  <c r="CM45" i="12"/>
  <c r="CM31" i="12"/>
  <c r="AY7" i="12"/>
  <c r="AY69" i="12"/>
  <c r="AY31" i="12"/>
  <c r="AW18" i="12"/>
  <c r="AY83" i="12"/>
  <c r="AW69" i="12"/>
  <c r="AV64" i="12"/>
  <c r="AY52" i="12"/>
  <c r="AW31" i="12"/>
  <c r="AQ24" i="12"/>
  <c r="AQ28" i="12"/>
  <c r="AQ32" i="12"/>
  <c r="AQ36" i="12"/>
  <c r="AQ40" i="12"/>
  <c r="AQ44" i="12"/>
  <c r="AQ48" i="12"/>
  <c r="AQ52" i="12"/>
  <c r="AQ56" i="12"/>
  <c r="AQ60" i="12"/>
  <c r="AQ59" i="12"/>
  <c r="AY14" i="12"/>
  <c r="AY63" i="12"/>
  <c r="CM66" i="12"/>
  <c r="AQ8" i="12"/>
  <c r="CI25" i="12"/>
  <c r="CI33" i="12"/>
  <c r="CI41" i="12"/>
  <c r="CI49" i="12"/>
  <c r="CI57" i="12"/>
  <c r="CI65" i="12"/>
  <c r="CI73" i="12"/>
  <c r="CI81" i="12"/>
  <c r="CI8" i="12"/>
  <c r="CI17" i="12"/>
  <c r="CI44" i="12"/>
  <c r="CI47" i="12"/>
  <c r="CI50" i="12"/>
  <c r="CI53" i="12"/>
  <c r="CI56" i="12"/>
  <c r="CI59" i="12"/>
  <c r="CI62" i="12"/>
  <c r="CI26" i="12"/>
  <c r="CI29" i="12"/>
  <c r="CI32" i="12"/>
  <c r="CI35" i="12"/>
  <c r="CI38" i="12"/>
  <c r="CI83" i="12"/>
  <c r="CI9" i="12"/>
  <c r="CI12" i="12"/>
  <c r="CI15" i="12"/>
  <c r="CI19" i="12"/>
  <c r="CI60" i="12"/>
  <c r="CI63" i="12"/>
  <c r="CI66" i="12"/>
  <c r="CI69" i="12"/>
  <c r="CI72" i="12"/>
  <c r="CI75" i="12"/>
  <c r="CI78" i="12"/>
  <c r="CI7" i="12"/>
  <c r="CI24" i="12"/>
  <c r="CI27" i="12"/>
  <c r="CI30" i="12"/>
  <c r="CI76" i="12"/>
  <c r="CI79" i="12"/>
  <c r="CI10" i="12"/>
  <c r="CI13" i="12"/>
  <c r="CI36" i="12"/>
  <c r="CI42" i="12"/>
  <c r="CI48" i="12"/>
  <c r="CI54" i="12"/>
  <c r="CI55" i="12"/>
  <c r="CI61" i="12"/>
  <c r="CI67" i="12"/>
  <c r="CI31" i="12"/>
  <c r="CI37" i="12"/>
  <c r="CI43" i="12"/>
  <c r="CI11" i="12"/>
  <c r="CI18" i="12"/>
  <c r="CI68" i="12"/>
  <c r="CI74" i="12"/>
  <c r="CI80" i="12"/>
  <c r="CI82" i="12"/>
  <c r="AP7" i="12"/>
  <c r="AP82" i="12"/>
  <c r="AP78" i="12"/>
  <c r="AP74" i="12"/>
  <c r="AP70" i="12"/>
  <c r="AP66" i="12"/>
  <c r="AP62" i="12"/>
  <c r="AQ57" i="12"/>
  <c r="AP53" i="12"/>
  <c r="AP48" i="12"/>
  <c r="AQ43" i="12"/>
  <c r="AP39" i="12"/>
  <c r="AQ34" i="12"/>
  <c r="AP30" i="12"/>
  <c r="AQ25" i="12"/>
  <c r="AS80" i="12"/>
  <c r="AS69" i="12"/>
  <c r="AS55" i="12"/>
  <c r="AS44" i="12"/>
  <c r="AS30" i="12"/>
  <c r="AV11" i="12"/>
  <c r="AW9" i="12"/>
  <c r="AY10" i="12"/>
  <c r="AW80" i="12"/>
  <c r="AY76" i="12"/>
  <c r="AY71" i="12"/>
  <c r="AW66" i="12"/>
  <c r="AV61" i="12"/>
  <c r="AY55" i="12"/>
  <c r="AV49" i="12"/>
  <c r="AY41" i="12"/>
  <c r="AW34" i="12"/>
  <c r="AY27" i="12"/>
  <c r="CG14" i="12"/>
  <c r="CI70" i="12"/>
  <c r="CI58" i="12"/>
  <c r="CG46" i="12"/>
  <c r="CG34" i="12"/>
  <c r="CL19" i="12"/>
  <c r="CL83" i="12"/>
  <c r="CO73" i="12"/>
  <c r="CL45" i="12"/>
  <c r="CL31" i="12"/>
  <c r="AY19" i="12"/>
  <c r="AY74" i="12"/>
  <c r="AW45" i="12"/>
  <c r="CM24" i="12"/>
  <c r="CM32" i="12"/>
  <c r="CM40" i="12"/>
  <c r="CM48" i="12"/>
  <c r="CM56" i="12"/>
  <c r="CM64" i="12"/>
  <c r="CM72" i="12"/>
  <c r="CM80" i="12"/>
  <c r="CM25" i="12"/>
  <c r="CM33" i="12"/>
  <c r="CM41" i="12"/>
  <c r="CM49" i="12"/>
  <c r="CM57" i="12"/>
  <c r="CM65" i="12"/>
  <c r="CM73" i="12"/>
  <c r="CM81" i="12"/>
  <c r="CM8" i="12"/>
  <c r="CM17" i="12"/>
  <c r="CM39" i="12"/>
  <c r="CM46" i="12"/>
  <c r="CM53" i="12"/>
  <c r="CM71" i="12"/>
  <c r="CM78" i="12"/>
  <c r="CM7" i="12"/>
  <c r="CM36" i="12"/>
  <c r="CM43" i="12"/>
  <c r="CM50" i="12"/>
  <c r="CM68" i="12"/>
  <c r="CM75" i="12"/>
  <c r="CM23" i="12"/>
  <c r="CM10" i="12"/>
  <c r="CM13" i="12"/>
  <c r="CM29" i="12"/>
  <c r="CM47" i="12"/>
  <c r="CM54" i="12"/>
  <c r="CM61" i="12"/>
  <c r="CM79" i="12"/>
  <c r="CM30" i="12"/>
  <c r="CM37" i="12"/>
  <c r="CM55" i="12"/>
  <c r="CM62" i="12"/>
  <c r="CM69" i="12"/>
  <c r="CM82" i="12"/>
  <c r="CM26" i="12"/>
  <c r="CM76" i="12"/>
  <c r="CM14" i="12"/>
  <c r="CM27" i="12"/>
  <c r="CM34" i="12"/>
  <c r="CM63" i="12"/>
  <c r="CM70" i="12"/>
  <c r="CM77" i="12"/>
  <c r="CM9" i="12"/>
  <c r="CM15" i="12"/>
  <c r="CM28" i="12"/>
  <c r="CM35" i="12"/>
  <c r="CM42" i="12"/>
  <c r="AQ50" i="12"/>
  <c r="AQ41" i="12"/>
  <c r="AW83" i="12"/>
  <c r="AV69" i="12"/>
  <c r="AW52" i="12"/>
  <c r="AW38" i="12"/>
  <c r="CM52" i="12"/>
  <c r="AQ15" i="12"/>
  <c r="AQ81" i="12"/>
  <c r="AQ77" i="12"/>
  <c r="AQ73" i="12"/>
  <c r="AQ69" i="12"/>
  <c r="AQ65" i="12"/>
  <c r="AQ61" i="12"/>
  <c r="AP57" i="12"/>
  <c r="AP52" i="12"/>
  <c r="AQ47" i="12"/>
  <c r="AP43" i="12"/>
  <c r="AQ38" i="12"/>
  <c r="AP34" i="12"/>
  <c r="AQ29" i="12"/>
  <c r="AP25" i="12"/>
  <c r="AS79" i="12"/>
  <c r="AS68" i="12"/>
  <c r="AS54" i="12"/>
  <c r="AS40" i="12"/>
  <c r="AS29" i="12"/>
  <c r="AV10" i="12"/>
  <c r="AW8" i="12"/>
  <c r="AW23" i="12"/>
  <c r="AV80" i="12"/>
  <c r="AW76" i="12"/>
  <c r="AW71" i="12"/>
  <c r="AV66" i="12"/>
  <c r="AY60" i="12"/>
  <c r="AW55" i="12"/>
  <c r="AV48" i="12"/>
  <c r="AW41" i="12"/>
  <c r="AV34" i="12"/>
  <c r="AY26" i="12"/>
  <c r="CG13" i="12"/>
  <c r="CF70" i="12"/>
  <c r="CF58" i="12"/>
  <c r="CI45" i="12"/>
  <c r="CG33" i="12"/>
  <c r="CM18" i="12"/>
  <c r="CL82" i="12"/>
  <c r="CO72" i="12"/>
  <c r="CM58" i="12"/>
  <c r="CM44" i="12"/>
  <c r="CL30" i="12"/>
  <c r="AQ18" i="12"/>
  <c r="AQ13" i="12"/>
  <c r="AQ9" i="12"/>
  <c r="AS15" i="12"/>
  <c r="AP18" i="12"/>
  <c r="AP13" i="12"/>
  <c r="AP9" i="12"/>
  <c r="AS13" i="12"/>
  <c r="AP17" i="12"/>
  <c r="AP12" i="12"/>
  <c r="AP8" i="12"/>
  <c r="AS12" i="12"/>
  <c r="AQ7" i="12"/>
  <c r="AP15" i="12"/>
  <c r="AP11" i="12"/>
  <c r="AS19" i="12"/>
  <c r="AS10" i="12"/>
  <c r="AQ19" i="12"/>
  <c r="AQ14" i="12"/>
  <c r="AQ10" i="12"/>
  <c r="AS18" i="12"/>
  <c r="AS9" i="12"/>
  <c r="AP19" i="12"/>
  <c r="AP14" i="12"/>
  <c r="AS17" i="12"/>
  <c r="AS8" i="12"/>
  <c r="F23" i="28" l="1"/>
  <c r="F37" i="28" s="1"/>
  <c r="E37" i="28"/>
  <c r="CF84" i="12"/>
  <c r="AW84" i="12"/>
  <c r="AU98" i="15"/>
  <c r="W86" i="12"/>
  <c r="F22" i="28" s="1"/>
  <c r="AW98" i="15"/>
  <c r="AW99" i="15" s="1"/>
  <c r="AW100" i="15" s="1"/>
  <c r="X86" i="12"/>
  <c r="G22" i="28" s="1"/>
  <c r="AS98" i="15"/>
  <c r="AS99" i="15" s="1"/>
  <c r="AS100" i="15" s="1"/>
  <c r="BG98" i="15"/>
  <c r="CO98" i="15"/>
  <c r="CO99" i="15" s="1"/>
  <c r="CO100" i="15" s="1"/>
  <c r="AR98" i="15"/>
  <c r="AR99" i="15" s="1"/>
  <c r="AR100" i="15" s="1"/>
  <c r="CK98" i="15"/>
  <c r="AV98" i="15"/>
  <c r="AV99" i="15" s="1"/>
  <c r="AV100" i="15" s="1"/>
  <c r="BJ98" i="15"/>
  <c r="BJ99" i="15" s="1"/>
  <c r="BJ100" i="15" s="1"/>
  <c r="BK98" i="15"/>
  <c r="BK99" i="15" s="1"/>
  <c r="BK100" i="15" s="1"/>
  <c r="CH98" i="15"/>
  <c r="CH99" i="15" s="1"/>
  <c r="CH100" i="15" s="1"/>
  <c r="AX98" i="15"/>
  <c r="AX99" i="15" s="1"/>
  <c r="AX100" i="15" s="1"/>
  <c r="CL98" i="15"/>
  <c r="CL99" i="15" s="1"/>
  <c r="CL100" i="15" s="1"/>
  <c r="CF98" i="15"/>
  <c r="CF99" i="15" s="1"/>
  <c r="CF100" i="15" s="1"/>
  <c r="CM98" i="15"/>
  <c r="CM99" i="15" s="1"/>
  <c r="CM100" i="15" s="1"/>
  <c r="BH98" i="15"/>
  <c r="BH99" i="15" s="1"/>
  <c r="BH100" i="15" s="1"/>
  <c r="AY98" i="15"/>
  <c r="AY99" i="15" s="1"/>
  <c r="AY100" i="15" s="1"/>
  <c r="CG98" i="15"/>
  <c r="CG99" i="15" s="1"/>
  <c r="CG100" i="15" s="1"/>
  <c r="CN98" i="15"/>
  <c r="CN99" i="15" s="1"/>
  <c r="CN100" i="15" s="1"/>
  <c r="CI20" i="12"/>
  <c r="CE98" i="15"/>
  <c r="AP98" i="15"/>
  <c r="BI98" i="15"/>
  <c r="BI99" i="15" s="1"/>
  <c r="BI100" i="15" s="1"/>
  <c r="CI98" i="15"/>
  <c r="CI99" i="15" s="1"/>
  <c r="CI100" i="15" s="1"/>
  <c r="AQ98" i="15"/>
  <c r="AQ99" i="15" s="1"/>
  <c r="AQ100" i="15" s="1"/>
  <c r="AQ84" i="12"/>
  <c r="AS84" i="12"/>
  <c r="AS20" i="12"/>
  <c r="AP84" i="12"/>
  <c r="CG20" i="12"/>
  <c r="CO84" i="12"/>
  <c r="CG84" i="12"/>
  <c r="AP20" i="12"/>
  <c r="AV20" i="12"/>
  <c r="AW20" i="12"/>
  <c r="CI84" i="12"/>
  <c r="CO20" i="12"/>
  <c r="AQ20" i="12"/>
  <c r="AV84" i="12"/>
  <c r="CF20" i="12"/>
  <c r="CM84" i="12"/>
  <c r="AY84" i="12"/>
  <c r="CL20" i="12"/>
  <c r="AY20" i="12"/>
  <c r="CL84" i="12"/>
  <c r="CM20" i="12"/>
  <c r="F36" i="28" l="1"/>
  <c r="Q22" i="28"/>
  <c r="P37" i="28"/>
  <c r="Q23" i="28"/>
  <c r="G36" i="28"/>
  <c r="G40" i="28" s="1"/>
  <c r="G26" i="28"/>
  <c r="G41" i="28" s="1"/>
  <c r="AP99" i="15"/>
  <c r="AP100" i="15" s="1"/>
  <c r="I9" i="21"/>
  <c r="AU99" i="15"/>
  <c r="AU100" i="15" s="1"/>
  <c r="I10" i="21"/>
  <c r="BG99" i="15"/>
  <c r="BG100" i="15" s="1"/>
  <c r="I12" i="21"/>
  <c r="CE99" i="15"/>
  <c r="CE100" i="15" s="1"/>
  <c r="I16" i="21"/>
  <c r="CK99" i="15"/>
  <c r="CK100" i="15" s="1"/>
  <c r="I17" i="21"/>
  <c r="AO99" i="15"/>
  <c r="AO100" i="15" s="1"/>
  <c r="AY86" i="12"/>
  <c r="AY87" i="12" s="1"/>
  <c r="AY88" i="12" s="1"/>
  <c r="CL86" i="12"/>
  <c r="CL87" i="12" s="1"/>
  <c r="CL88" i="12" s="1"/>
  <c r="AW86" i="12"/>
  <c r="AW87" i="12" s="1"/>
  <c r="AW88" i="12" s="1"/>
  <c r="CI86" i="12"/>
  <c r="CI87" i="12" s="1"/>
  <c r="CI88" i="12" s="1"/>
  <c r="AP86" i="12"/>
  <c r="AP87" i="12" s="1"/>
  <c r="AP88" i="12" s="1"/>
  <c r="AV86" i="12"/>
  <c r="AV87" i="12" s="1"/>
  <c r="AV88" i="12" s="1"/>
  <c r="AQ86" i="12"/>
  <c r="AQ87" i="12" s="1"/>
  <c r="AQ88" i="12" s="1"/>
  <c r="CG86" i="12"/>
  <c r="CG87" i="12" s="1"/>
  <c r="CG88" i="12" s="1"/>
  <c r="AS86" i="12"/>
  <c r="AS87" i="12" s="1"/>
  <c r="AS88" i="12" s="1"/>
  <c r="CO86" i="12"/>
  <c r="CO87" i="12" s="1"/>
  <c r="CO88" i="12" s="1"/>
  <c r="CF86" i="12"/>
  <c r="CF87" i="12" s="1"/>
  <c r="CF88" i="12" s="1"/>
  <c r="CM86" i="12"/>
  <c r="CM87" i="12" s="1"/>
  <c r="CM88" i="12" s="1"/>
  <c r="P36" i="28" l="1"/>
  <c r="I19" i="21"/>
  <c r="H16" i="21"/>
  <c r="H10" i="21"/>
  <c r="H17" i="21"/>
  <c r="H9" i="21"/>
  <c r="H19" i="21" l="1"/>
  <c r="I42" i="21" l="1"/>
  <c r="I43" i="21" l="1"/>
  <c r="I45" i="21"/>
  <c r="I50" i="21"/>
  <c r="I49" i="21"/>
  <c r="I35" i="21" l="1"/>
  <c r="I51" i="21" s="1"/>
  <c r="W8" i="11"/>
  <c r="AC10" i="11" s="1"/>
  <c r="W9" i="11"/>
  <c r="AF10" i="11" s="1"/>
  <c r="W10" i="11"/>
  <c r="AI10" i="11" s="1"/>
  <c r="W11" i="11"/>
  <c r="AL10" i="11" s="1"/>
  <c r="W12" i="11"/>
  <c r="AO10" i="11" s="1"/>
  <c r="W13" i="11"/>
  <c r="AR10" i="11" s="1"/>
  <c r="W14" i="11"/>
  <c r="BA10" i="11" s="1"/>
  <c r="W15" i="11"/>
  <c r="BD10" i="11" s="1"/>
  <c r="W7" i="11"/>
  <c r="Z10" i="11" s="1"/>
  <c r="Q17" i="3"/>
  <c r="Q18" i="3" s="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15" i="11"/>
  <c r="S8" i="11"/>
  <c r="U8" i="11" s="1"/>
  <c r="S9" i="11"/>
  <c r="S11" i="11"/>
  <c r="S7" i="11"/>
  <c r="T16" i="11"/>
  <c r="T17" i="11"/>
  <c r="T18" i="11"/>
  <c r="T19" i="11"/>
  <c r="T20" i="11"/>
  <c r="T21" i="11"/>
  <c r="T22" i="11"/>
  <c r="T23" i="11"/>
  <c r="AA23" i="11" s="1"/>
  <c r="T24" i="11"/>
  <c r="T25" i="11"/>
  <c r="T26" i="11"/>
  <c r="T27" i="11"/>
  <c r="T28" i="11"/>
  <c r="T29" i="11"/>
  <c r="T30" i="11"/>
  <c r="T15" i="11"/>
  <c r="T9" i="11"/>
  <c r="T11" i="11"/>
  <c r="T7" i="11"/>
  <c r="L12" i="11"/>
  <c r="L33" i="11" s="1"/>
  <c r="K8" i="11"/>
  <c r="H8" i="11"/>
  <c r="I8" i="11"/>
  <c r="J8" i="11"/>
  <c r="H15" i="11"/>
  <c r="I15" i="11"/>
  <c r="J15" i="11"/>
  <c r="K15" i="11"/>
  <c r="H16" i="11"/>
  <c r="I16" i="11"/>
  <c r="J16" i="11"/>
  <c r="K16" i="11"/>
  <c r="H17" i="11"/>
  <c r="I17" i="11"/>
  <c r="J17" i="11"/>
  <c r="K17" i="11"/>
  <c r="H18" i="11"/>
  <c r="I18" i="11"/>
  <c r="J18" i="11"/>
  <c r="K18" i="11"/>
  <c r="H19" i="11"/>
  <c r="I19" i="11"/>
  <c r="J19" i="11"/>
  <c r="K19" i="11"/>
  <c r="H20" i="11"/>
  <c r="I20" i="11"/>
  <c r="J20" i="11"/>
  <c r="K20" i="11"/>
  <c r="H21" i="11"/>
  <c r="I21" i="11"/>
  <c r="J21" i="11"/>
  <c r="K21" i="11"/>
  <c r="H22" i="11"/>
  <c r="I22" i="11"/>
  <c r="J22" i="11"/>
  <c r="K22" i="11"/>
  <c r="H23" i="11"/>
  <c r="I23" i="11"/>
  <c r="J23" i="11"/>
  <c r="K23" i="11"/>
  <c r="H24" i="11"/>
  <c r="I24" i="11"/>
  <c r="J24" i="11"/>
  <c r="K24" i="11"/>
  <c r="H25" i="11"/>
  <c r="I25" i="11"/>
  <c r="J25" i="11"/>
  <c r="K25" i="11"/>
  <c r="H26" i="11"/>
  <c r="I26" i="11"/>
  <c r="J26" i="11"/>
  <c r="K26" i="11"/>
  <c r="H27" i="11"/>
  <c r="I27" i="11"/>
  <c r="J27" i="11"/>
  <c r="K27" i="11"/>
  <c r="H28" i="11"/>
  <c r="I28" i="11"/>
  <c r="J28" i="11"/>
  <c r="K28" i="11"/>
  <c r="H29" i="11"/>
  <c r="I29" i="11"/>
  <c r="J29" i="11"/>
  <c r="K29" i="11"/>
  <c r="H9" i="11"/>
  <c r="I9" i="11"/>
  <c r="J9" i="11"/>
  <c r="K9" i="11"/>
  <c r="H11" i="11"/>
  <c r="I11" i="11"/>
  <c r="J11" i="11"/>
  <c r="K11" i="11"/>
  <c r="H30" i="11"/>
  <c r="I30" i="11"/>
  <c r="J30" i="11"/>
  <c r="K30" i="11"/>
  <c r="H7" i="11"/>
  <c r="I7" i="11"/>
  <c r="J7" i="11"/>
  <c r="K7" i="11"/>
  <c r="U11" i="11" l="1"/>
  <c r="U26" i="11"/>
  <c r="U18" i="11"/>
  <c r="U9" i="11"/>
  <c r="U25" i="11"/>
  <c r="U17" i="11"/>
  <c r="U24" i="11"/>
  <c r="U16" i="11"/>
  <c r="U15" i="11"/>
  <c r="U23" i="11"/>
  <c r="U30" i="11"/>
  <c r="U22" i="11"/>
  <c r="U29" i="11"/>
  <c r="U21" i="11"/>
  <c r="U28" i="11"/>
  <c r="U20" i="11"/>
  <c r="U7" i="11"/>
  <c r="U27" i="11"/>
  <c r="U19" i="11"/>
  <c r="S31" i="11"/>
  <c r="S12" i="11"/>
  <c r="T12" i="11"/>
  <c r="T31" i="11"/>
  <c r="AJ19" i="11"/>
  <c r="AO17" i="11"/>
  <c r="AG15" i="11"/>
  <c r="AL16" i="11"/>
  <c r="AA8" i="11"/>
  <c r="AD15" i="11"/>
  <c r="AI7" i="11"/>
  <c r="BE17" i="11"/>
  <c r="AF19" i="11"/>
  <c r="BB16" i="11"/>
  <c r="Z17" i="11"/>
  <c r="AC19" i="11"/>
  <c r="AS17" i="11"/>
  <c r="BD18" i="11"/>
  <c r="AP11" i="11"/>
  <c r="BA17" i="11"/>
  <c r="AM30" i="11"/>
  <c r="AR17" i="11"/>
  <c r="Z7" i="11"/>
  <c r="AA11" i="11"/>
  <c r="AA24" i="11"/>
  <c r="AG11" i="11"/>
  <c r="AI23" i="11"/>
  <c r="AP28" i="11"/>
  <c r="AS16" i="11"/>
  <c r="BD25" i="11"/>
  <c r="AA20" i="11"/>
  <c r="AG30" i="11"/>
  <c r="AI19" i="11"/>
  <c r="AP24" i="11"/>
  <c r="BB11" i="11"/>
  <c r="BD21" i="11"/>
  <c r="AA16" i="11"/>
  <c r="AG26" i="11"/>
  <c r="AL8" i="11"/>
  <c r="AP20" i="11"/>
  <c r="BA28" i="11"/>
  <c r="BD17" i="11"/>
  <c r="AD11" i="11"/>
  <c r="AG22" i="11"/>
  <c r="AL27" i="11"/>
  <c r="AP16" i="11"/>
  <c r="BA24" i="11"/>
  <c r="AD30" i="11"/>
  <c r="AG18" i="11"/>
  <c r="AL23" i="11"/>
  <c r="AS8" i="11"/>
  <c r="BA20" i="11"/>
  <c r="AD26" i="11"/>
  <c r="AJ7" i="11"/>
  <c r="AL19" i="11"/>
  <c r="AS28" i="11"/>
  <c r="BA16" i="11"/>
  <c r="Z8" i="11"/>
  <c r="AD22" i="11"/>
  <c r="AI15" i="11"/>
  <c r="AL30" i="11"/>
  <c r="AS24" i="11"/>
  <c r="BD9" i="11"/>
  <c r="AA28" i="11"/>
  <c r="AD18" i="11"/>
  <c r="AI27" i="11"/>
  <c r="AP9" i="11"/>
  <c r="AS20" i="11"/>
  <c r="BD29" i="11"/>
  <c r="AA7" i="11"/>
  <c r="Z28" i="11"/>
  <c r="Z24" i="11"/>
  <c r="Z20" i="11"/>
  <c r="Z16" i="11"/>
  <c r="AC11" i="11"/>
  <c r="AC30" i="11"/>
  <c r="AC26" i="11"/>
  <c r="AC22" i="11"/>
  <c r="AC18" i="11"/>
  <c r="AF11" i="11"/>
  <c r="AF30" i="11"/>
  <c r="AF26" i="11"/>
  <c r="AF22" i="11"/>
  <c r="AF18" i="11"/>
  <c r="AJ11" i="11"/>
  <c r="AJ30" i="11"/>
  <c r="AJ26" i="11"/>
  <c r="AJ22" i="11"/>
  <c r="AJ18" i="11"/>
  <c r="AL7" i="11"/>
  <c r="AL15" i="11"/>
  <c r="AM26" i="11"/>
  <c r="AM22" i="11"/>
  <c r="AM18" i="11"/>
  <c r="AP8" i="11"/>
  <c r="AO28" i="11"/>
  <c r="AO24" i="11"/>
  <c r="AO20" i="11"/>
  <c r="AO16" i="11"/>
  <c r="AR8" i="11"/>
  <c r="AR28" i="11"/>
  <c r="AR24" i="11"/>
  <c r="AR20" i="11"/>
  <c r="AR16" i="11"/>
  <c r="BB9" i="11"/>
  <c r="BB27" i="11"/>
  <c r="BB23" i="11"/>
  <c r="BB19" i="11"/>
  <c r="BB30" i="11"/>
  <c r="BE8" i="11"/>
  <c r="BE28" i="11"/>
  <c r="BE24" i="11"/>
  <c r="BE20" i="11"/>
  <c r="BE16" i="11"/>
  <c r="AA15" i="11"/>
  <c r="AA27" i="11"/>
  <c r="AA19" i="11"/>
  <c r="AD9" i="11"/>
  <c r="AD29" i="11"/>
  <c r="AD25" i="11"/>
  <c r="AD21" i="11"/>
  <c r="AD17" i="11"/>
  <c r="AG9" i="11"/>
  <c r="AG29" i="11"/>
  <c r="AG25" i="11"/>
  <c r="AG21" i="11"/>
  <c r="AG17" i="11"/>
  <c r="AI11" i="11"/>
  <c r="AI30" i="11"/>
  <c r="AI26" i="11"/>
  <c r="AI22" i="11"/>
  <c r="AI18" i="11"/>
  <c r="AM7" i="11"/>
  <c r="AM15" i="11"/>
  <c r="AL26" i="11"/>
  <c r="AL22" i="11"/>
  <c r="AL18" i="11"/>
  <c r="AO7" i="11"/>
  <c r="AO15" i="11"/>
  <c r="AP27" i="11"/>
  <c r="AP23" i="11"/>
  <c r="AP19" i="11"/>
  <c r="AR7" i="11"/>
  <c r="AR15" i="11"/>
  <c r="AS27" i="11"/>
  <c r="AS23" i="11"/>
  <c r="AS19" i="11"/>
  <c r="BB8" i="11"/>
  <c r="BA27" i="11"/>
  <c r="BA23" i="11"/>
  <c r="BA19" i="11"/>
  <c r="BA30" i="11"/>
  <c r="BD8" i="11"/>
  <c r="BD28" i="11"/>
  <c r="BD24" i="11"/>
  <c r="BD20" i="11"/>
  <c r="BD16" i="11"/>
  <c r="Z15" i="11"/>
  <c r="Z27" i="11"/>
  <c r="Z23" i="11"/>
  <c r="Z19" i="11"/>
  <c r="AC9" i="11"/>
  <c r="AC29" i="11"/>
  <c r="AC25" i="11"/>
  <c r="AC21" i="11"/>
  <c r="AC17" i="11"/>
  <c r="AF9" i="11"/>
  <c r="AF29" i="11"/>
  <c r="AF25" i="11"/>
  <c r="AF21" i="11"/>
  <c r="AF17" i="11"/>
  <c r="AJ9" i="11"/>
  <c r="AJ29" i="11"/>
  <c r="AJ25" i="11"/>
  <c r="AJ21" i="11"/>
  <c r="AJ17" i="11"/>
  <c r="AM11" i="11"/>
  <c r="AM29" i="11"/>
  <c r="AM25" i="11"/>
  <c r="AM21" i="11"/>
  <c r="AM17" i="11"/>
  <c r="AO11" i="11"/>
  <c r="AP15" i="11"/>
  <c r="AO27" i="11"/>
  <c r="AO23" i="11"/>
  <c r="AO19" i="11"/>
  <c r="AS7" i="11"/>
  <c r="AS15" i="11"/>
  <c r="AR27" i="11"/>
  <c r="AR23" i="11"/>
  <c r="AR19" i="11"/>
  <c r="BA7" i="11"/>
  <c r="BA15" i="11"/>
  <c r="BB26" i="11"/>
  <c r="BB22" i="11"/>
  <c r="BB18" i="11"/>
  <c r="BD7" i="11"/>
  <c r="BD15" i="11"/>
  <c r="BE27" i="11"/>
  <c r="BE23" i="11"/>
  <c r="BE19" i="11"/>
  <c r="AA30" i="11"/>
  <c r="AA26" i="11"/>
  <c r="AA22" i="11"/>
  <c r="AA18" i="11"/>
  <c r="AD8" i="11"/>
  <c r="AD28" i="11"/>
  <c r="AD24" i="11"/>
  <c r="AD20" i="11"/>
  <c r="AD16" i="11"/>
  <c r="AG8" i="11"/>
  <c r="AG28" i="11"/>
  <c r="AG24" i="11"/>
  <c r="AG20" i="11"/>
  <c r="AG16" i="11"/>
  <c r="AI9" i="11"/>
  <c r="AI29" i="11"/>
  <c r="AI25" i="11"/>
  <c r="AI21" i="11"/>
  <c r="AI17" i="11"/>
  <c r="AL11" i="11"/>
  <c r="AL29" i="11"/>
  <c r="AL25" i="11"/>
  <c r="AL21" i="11"/>
  <c r="AL17" i="11"/>
  <c r="AO9" i="11"/>
  <c r="AP30" i="11"/>
  <c r="AP26" i="11"/>
  <c r="AP22" i="11"/>
  <c r="AP18" i="11"/>
  <c r="AS11" i="11"/>
  <c r="AS30" i="11"/>
  <c r="AS26" i="11"/>
  <c r="AS22" i="11"/>
  <c r="AS18" i="11"/>
  <c r="BA11" i="11"/>
  <c r="BB15" i="11"/>
  <c r="BA26" i="11"/>
  <c r="BA22" i="11"/>
  <c r="BA18" i="11"/>
  <c r="BE7" i="11"/>
  <c r="BE15" i="11"/>
  <c r="BD27" i="11"/>
  <c r="BD23" i="11"/>
  <c r="BD19" i="11"/>
  <c r="Z30" i="11"/>
  <c r="Z26" i="11"/>
  <c r="Z22" i="11"/>
  <c r="Z18" i="11"/>
  <c r="AC8" i="11"/>
  <c r="AC28" i="11"/>
  <c r="AC24" i="11"/>
  <c r="AC20" i="11"/>
  <c r="AC16" i="11"/>
  <c r="AF8" i="11"/>
  <c r="AF28" i="11"/>
  <c r="AF24" i="11"/>
  <c r="AF20" i="11"/>
  <c r="AF16" i="11"/>
  <c r="AJ8" i="11"/>
  <c r="AJ28" i="11"/>
  <c r="AJ24" i="11"/>
  <c r="AJ20" i="11"/>
  <c r="AJ16" i="11"/>
  <c r="AM9" i="11"/>
  <c r="AM28" i="11"/>
  <c r="AM24" i="11"/>
  <c r="AM20" i="11"/>
  <c r="AM16" i="11"/>
  <c r="AO8" i="11"/>
  <c r="AO30" i="11"/>
  <c r="AO26" i="11"/>
  <c r="AO22" i="11"/>
  <c r="AO18" i="11"/>
  <c r="AR11" i="11"/>
  <c r="AR30" i="11"/>
  <c r="AR26" i="11"/>
  <c r="AR22" i="11"/>
  <c r="AR18" i="11"/>
  <c r="BA9" i="11"/>
  <c r="BB29" i="11"/>
  <c r="BB25" i="11"/>
  <c r="BB21" i="11"/>
  <c r="BB17" i="11"/>
  <c r="BE11" i="11"/>
  <c r="BE30" i="11"/>
  <c r="BE26" i="11"/>
  <c r="BE22" i="11"/>
  <c r="BE18" i="11"/>
  <c r="Z11" i="11"/>
  <c r="AA29" i="11"/>
  <c r="AA25" i="11"/>
  <c r="AA21" i="11"/>
  <c r="AA17" i="11"/>
  <c r="AD7" i="11"/>
  <c r="AC15" i="11"/>
  <c r="AD27" i="11"/>
  <c r="AD23" i="11"/>
  <c r="AD19" i="11"/>
  <c r="AF7" i="11"/>
  <c r="AF15" i="11"/>
  <c r="AG27" i="11"/>
  <c r="AG23" i="11"/>
  <c r="AG19" i="11"/>
  <c r="AI8" i="11"/>
  <c r="AI28" i="11"/>
  <c r="AI24" i="11"/>
  <c r="AI20" i="11"/>
  <c r="AI16" i="11"/>
  <c r="AL9" i="11"/>
  <c r="AL28" i="11"/>
  <c r="AL24" i="11"/>
  <c r="AL20" i="11"/>
  <c r="AP7" i="11"/>
  <c r="AP29" i="11"/>
  <c r="AP25" i="11"/>
  <c r="AP21" i="11"/>
  <c r="AP17" i="11"/>
  <c r="AS9" i="11"/>
  <c r="AS29" i="11"/>
  <c r="AS25" i="11"/>
  <c r="AS21" i="11"/>
  <c r="BA8" i="11"/>
  <c r="BA29" i="11"/>
  <c r="BA25" i="11"/>
  <c r="BA21" i="11"/>
  <c r="BD11" i="11"/>
  <c r="BD30" i="11"/>
  <c r="BD26" i="11"/>
  <c r="BD22" i="11"/>
  <c r="Z9" i="11"/>
  <c r="Z29" i="11"/>
  <c r="Z25" i="11"/>
  <c r="Z21" i="11"/>
  <c r="AC7" i="11"/>
  <c r="AC27" i="11"/>
  <c r="AC23" i="11"/>
  <c r="AG7" i="11"/>
  <c r="AF27" i="11"/>
  <c r="AF23" i="11"/>
  <c r="AJ15" i="11"/>
  <c r="AJ27" i="11"/>
  <c r="AJ23" i="11"/>
  <c r="AM8" i="11"/>
  <c r="AM27" i="11"/>
  <c r="AM23" i="11"/>
  <c r="AM19" i="11"/>
  <c r="AO29" i="11"/>
  <c r="AO25" i="11"/>
  <c r="AO21" i="11"/>
  <c r="AR9" i="11"/>
  <c r="AR29" i="11"/>
  <c r="AR25" i="11"/>
  <c r="AR21" i="11"/>
  <c r="BB7" i="11"/>
  <c r="BB28" i="11"/>
  <c r="BB24" i="11"/>
  <c r="BB20" i="11"/>
  <c r="BE9" i="11"/>
  <c r="BE29" i="11"/>
  <c r="BE25" i="11"/>
  <c r="BE21" i="11"/>
  <c r="X16" i="11"/>
  <c r="AA9" i="11"/>
  <c r="W16" i="11"/>
  <c r="J12" i="11"/>
  <c r="K12" i="11"/>
  <c r="K31" i="11"/>
  <c r="H31" i="11"/>
  <c r="J31" i="11"/>
  <c r="I12" i="11"/>
  <c r="I31" i="11"/>
  <c r="H12" i="11"/>
  <c r="S33" i="11" l="1"/>
  <c r="AJ12" i="11"/>
  <c r="AG12" i="11"/>
  <c r="AI12" i="11"/>
  <c r="T33" i="11"/>
  <c r="AP12" i="11"/>
  <c r="AG31" i="11"/>
  <c r="AR12" i="11"/>
  <c r="BD31" i="11"/>
  <c r="AF12" i="11"/>
  <c r="AI31" i="11"/>
  <c r="Z12" i="11"/>
  <c r="AD31" i="11"/>
  <c r="AJ31" i="11"/>
  <c r="AF31" i="11"/>
  <c r="BB31" i="11"/>
  <c r="BD12" i="11"/>
  <c r="AM31" i="11"/>
  <c r="AD12" i="11"/>
  <c r="Z31" i="11"/>
  <c r="AS31" i="11"/>
  <c r="AM12" i="11"/>
  <c r="AS12" i="11"/>
  <c r="BB12" i="11"/>
  <c r="AA12" i="11"/>
  <c r="AC12" i="11"/>
  <c r="BE31" i="11"/>
  <c r="AO31" i="11"/>
  <c r="BE12" i="11"/>
  <c r="BA31" i="11"/>
  <c r="AO12" i="11"/>
  <c r="AA31" i="11"/>
  <c r="AC31" i="11"/>
  <c r="BA12" i="11"/>
  <c r="AL31" i="11"/>
  <c r="AP31" i="11"/>
  <c r="AR31" i="11"/>
  <c r="AL12" i="11"/>
  <c r="K33" i="11"/>
  <c r="I33" i="11"/>
  <c r="J33" i="11"/>
  <c r="H33" i="11"/>
  <c r="N20" i="28" l="1"/>
  <c r="L30" i="21"/>
  <c r="BB33" i="11"/>
  <c r="BB34" i="11" s="1"/>
  <c r="BB35" i="11" s="1"/>
  <c r="AG33" i="11"/>
  <c r="AG34" i="11" s="1"/>
  <c r="AG35" i="11" s="1"/>
  <c r="AI33" i="11"/>
  <c r="AI34" i="11" s="1"/>
  <c r="AI35" i="11" s="1"/>
  <c r="AJ33" i="11"/>
  <c r="AJ34" i="11" s="1"/>
  <c r="AJ35" i="11" s="1"/>
  <c r="AL33" i="11"/>
  <c r="AL34" i="11" s="1"/>
  <c r="AL35" i="11" s="1"/>
  <c r="AR33" i="11"/>
  <c r="AR34" i="11" s="1"/>
  <c r="AR35" i="11" s="1"/>
  <c r="AP33" i="11"/>
  <c r="AP34" i="11" s="1"/>
  <c r="AP35" i="11" s="1"/>
  <c r="AA33" i="11"/>
  <c r="AA34" i="11" s="1"/>
  <c r="AA35" i="11" s="1"/>
  <c r="BE33" i="11"/>
  <c r="BE34" i="11" s="1"/>
  <c r="BE35" i="11" s="1"/>
  <c r="Z33" i="11"/>
  <c r="Z34" i="11" s="1"/>
  <c r="Z35" i="11" s="1"/>
  <c r="AD33" i="11"/>
  <c r="AD34" i="11" s="1"/>
  <c r="AD35" i="11" s="1"/>
  <c r="AF33" i="11"/>
  <c r="AF34" i="11" s="1"/>
  <c r="AF35" i="11" s="1"/>
  <c r="AO33" i="11"/>
  <c r="BD33" i="11"/>
  <c r="BD34" i="11" s="1"/>
  <c r="BD35" i="11" s="1"/>
  <c r="AC33" i="11"/>
  <c r="AC34" i="11" s="1"/>
  <c r="AC35" i="11" s="1"/>
  <c r="BA33" i="11"/>
  <c r="BA34" i="11" s="1"/>
  <c r="BA35" i="11" s="1"/>
  <c r="AM33" i="11"/>
  <c r="AM34" i="11" s="1"/>
  <c r="AM35" i="11" s="1"/>
  <c r="AS33" i="11"/>
  <c r="AS34" i="11" s="1"/>
  <c r="AS35" i="11" s="1"/>
  <c r="N26" i="28" l="1"/>
  <c r="N41" i="28" s="1"/>
  <c r="Q20" i="28"/>
  <c r="N34" i="28"/>
  <c r="AO34" i="11"/>
  <c r="AO35" i="11" s="1"/>
  <c r="F13" i="21"/>
  <c r="F35" i="21"/>
  <c r="L29" i="21"/>
  <c r="F16" i="21"/>
  <c r="F9" i="21"/>
  <c r="F14" i="21"/>
  <c r="F10" i="21"/>
  <c r="F17" i="21"/>
  <c r="F12" i="21"/>
  <c r="F11" i="21"/>
  <c r="F8" i="21"/>
  <c r="P34" i="28" l="1"/>
  <c r="N40" i="28"/>
  <c r="F19" i="21"/>
  <c r="L12" i="21"/>
  <c r="L13" i="21"/>
  <c r="L17" i="21"/>
  <c r="L16" i="21"/>
  <c r="F51" i="21"/>
  <c r="L46" i="21" l="1"/>
  <c r="M46" i="21" s="1"/>
  <c r="L45" i="21"/>
  <c r="M45" i="21" s="1"/>
  <c r="H43" i="21" l="1"/>
  <c r="H50" i="21" l="1"/>
  <c r="L34" i="21"/>
  <c r="H35" i="21"/>
  <c r="H51" i="21" s="1"/>
  <c r="H42" i="21"/>
  <c r="H49" i="21"/>
  <c r="L33" i="21"/>
  <c r="AP17" i="3"/>
  <c r="AP18" i="3" s="1"/>
  <c r="AM17" i="3"/>
  <c r="AM18" i="3" s="1"/>
  <c r="AD17" i="3"/>
  <c r="AD18" i="3" s="1"/>
  <c r="AU7" i="2"/>
  <c r="V24" i="2"/>
  <c r="AO24" i="2" s="1"/>
  <c r="W24" i="2"/>
  <c r="AP24" i="2" s="1"/>
  <c r="V25" i="2"/>
  <c r="AO25" i="2" s="1"/>
  <c r="W25" i="2"/>
  <c r="AJ25" i="2" s="1"/>
  <c r="V26" i="2"/>
  <c r="AO26" i="2" s="1"/>
  <c r="W26" i="2"/>
  <c r="AJ26" i="2" s="1"/>
  <c r="V27" i="2"/>
  <c r="AO27" i="2" s="1"/>
  <c r="W27" i="2"/>
  <c r="AP27" i="2" s="1"/>
  <c r="V28" i="2"/>
  <c r="AO28" i="2" s="1"/>
  <c r="W28" i="2"/>
  <c r="AP28" i="2" s="1"/>
  <c r="V29" i="2"/>
  <c r="AO29" i="2" s="1"/>
  <c r="W29" i="2"/>
  <c r="AJ29" i="2" s="1"/>
  <c r="V30" i="2"/>
  <c r="AO30" i="2" s="1"/>
  <c r="W30" i="2"/>
  <c r="AP30" i="2" s="1"/>
  <c r="V31" i="2"/>
  <c r="AO31" i="2" s="1"/>
  <c r="W31" i="2"/>
  <c r="AP31" i="2" s="1"/>
  <c r="V32" i="2"/>
  <c r="AO32" i="2" s="1"/>
  <c r="W32" i="2"/>
  <c r="AP32" i="2" s="1"/>
  <c r="V33" i="2"/>
  <c r="AO33" i="2" s="1"/>
  <c r="W33" i="2"/>
  <c r="AJ33" i="2" s="1"/>
  <c r="V34" i="2"/>
  <c r="AO34" i="2" s="1"/>
  <c r="W34" i="2"/>
  <c r="AJ34" i="2" s="1"/>
  <c r="V35" i="2"/>
  <c r="AO35" i="2" s="1"/>
  <c r="W35" i="2"/>
  <c r="AP35" i="2" s="1"/>
  <c r="V36" i="2"/>
  <c r="AO36" i="2" s="1"/>
  <c r="W36" i="2"/>
  <c r="AP36" i="2" s="1"/>
  <c r="V37" i="2"/>
  <c r="AO37" i="2" s="1"/>
  <c r="W37" i="2"/>
  <c r="AJ37" i="2" s="1"/>
  <c r="V38" i="2"/>
  <c r="AO38" i="2" s="1"/>
  <c r="W38" i="2"/>
  <c r="AJ38" i="2" s="1"/>
  <c r="V39" i="2"/>
  <c r="AO39" i="2" s="1"/>
  <c r="W39" i="2"/>
  <c r="AV39" i="2" s="1"/>
  <c r="V40" i="2"/>
  <c r="AO40" i="2" s="1"/>
  <c r="W40" i="2"/>
  <c r="AP40" i="2" s="1"/>
  <c r="V41" i="2"/>
  <c r="AO41" i="2" s="1"/>
  <c r="W41" i="2"/>
  <c r="AJ41" i="2" s="1"/>
  <c r="V42" i="2"/>
  <c r="AO42" i="2" s="1"/>
  <c r="W42" i="2"/>
  <c r="AP42" i="2" s="1"/>
  <c r="V43" i="2"/>
  <c r="AO43" i="2" s="1"/>
  <c r="W43" i="2"/>
  <c r="AP43" i="2" s="1"/>
  <c r="V44" i="2"/>
  <c r="AO44" i="2" s="1"/>
  <c r="W44" i="2"/>
  <c r="AP44" i="2" s="1"/>
  <c r="V45" i="2"/>
  <c r="AO45" i="2" s="1"/>
  <c r="W45" i="2"/>
  <c r="AJ45" i="2" s="1"/>
  <c r="V46" i="2"/>
  <c r="AO46" i="2" s="1"/>
  <c r="W46" i="2"/>
  <c r="AJ46" i="2" s="1"/>
  <c r="V47" i="2"/>
  <c r="AO47" i="2" s="1"/>
  <c r="W47" i="2"/>
  <c r="AJ47" i="2" s="1"/>
  <c r="V48" i="2"/>
  <c r="AO48" i="2" s="1"/>
  <c r="W48" i="2"/>
  <c r="AP48" i="2" s="1"/>
  <c r="V49" i="2"/>
  <c r="AO49" i="2" s="1"/>
  <c r="W49" i="2"/>
  <c r="AJ49" i="2" s="1"/>
  <c r="V50" i="2"/>
  <c r="AO50" i="2" s="1"/>
  <c r="W50" i="2"/>
  <c r="AP50" i="2" s="1"/>
  <c r="V51" i="2"/>
  <c r="AO51" i="2" s="1"/>
  <c r="W51" i="2"/>
  <c r="AP51" i="2" s="1"/>
  <c r="V52" i="2"/>
  <c r="AO52" i="2" s="1"/>
  <c r="W52" i="2"/>
  <c r="AP52" i="2" s="1"/>
  <c r="V53" i="2"/>
  <c r="AO53" i="2" s="1"/>
  <c r="W53" i="2"/>
  <c r="AJ53" i="2" s="1"/>
  <c r="V54" i="2"/>
  <c r="AO54" i="2" s="1"/>
  <c r="W54" i="2"/>
  <c r="AJ54" i="2" s="1"/>
  <c r="V55" i="2"/>
  <c r="AO55" i="2" s="1"/>
  <c r="W55" i="2"/>
  <c r="AV55" i="2" s="1"/>
  <c r="V56" i="2"/>
  <c r="AO56" i="2" s="1"/>
  <c r="W56" i="2"/>
  <c r="AP56" i="2" s="1"/>
  <c r="V57" i="2"/>
  <c r="AO57" i="2" s="1"/>
  <c r="W57" i="2"/>
  <c r="AJ57" i="2" s="1"/>
  <c r="V58" i="2"/>
  <c r="AO58" i="2" s="1"/>
  <c r="W58" i="2"/>
  <c r="AJ58" i="2" s="1"/>
  <c r="V59" i="2"/>
  <c r="AO59" i="2" s="1"/>
  <c r="W59" i="2"/>
  <c r="AP59" i="2" s="1"/>
  <c r="V60" i="2"/>
  <c r="AO60" i="2" s="1"/>
  <c r="W60" i="2"/>
  <c r="AP60" i="2" s="1"/>
  <c r="V61" i="2"/>
  <c r="AO61" i="2" s="1"/>
  <c r="W61" i="2"/>
  <c r="AJ61" i="2" s="1"/>
  <c r="V62" i="2"/>
  <c r="AO62" i="2" s="1"/>
  <c r="W62" i="2"/>
  <c r="AP62" i="2" s="1"/>
  <c r="V63" i="2"/>
  <c r="AO63" i="2" s="1"/>
  <c r="W63" i="2"/>
  <c r="AP63" i="2" s="1"/>
  <c r="V64" i="2"/>
  <c r="AO64" i="2" s="1"/>
  <c r="W64" i="2"/>
  <c r="AP64" i="2" s="1"/>
  <c r="V65" i="2"/>
  <c r="AO65" i="2" s="1"/>
  <c r="W65" i="2"/>
  <c r="AJ65" i="2" s="1"/>
  <c r="V66" i="2"/>
  <c r="AO66" i="2" s="1"/>
  <c r="W66" i="2"/>
  <c r="AJ66" i="2" s="1"/>
  <c r="V67" i="2"/>
  <c r="AO67" i="2" s="1"/>
  <c r="W67" i="2"/>
  <c r="AP67" i="2" s="1"/>
  <c r="V68" i="2"/>
  <c r="AO68" i="2" s="1"/>
  <c r="W68" i="2"/>
  <c r="AP68" i="2" s="1"/>
  <c r="V69" i="2"/>
  <c r="AO69" i="2" s="1"/>
  <c r="W69" i="2"/>
  <c r="AJ69" i="2" s="1"/>
  <c r="V70" i="2"/>
  <c r="AO70" i="2" s="1"/>
  <c r="W70" i="2"/>
  <c r="AJ70" i="2" s="1"/>
  <c r="V71" i="2"/>
  <c r="AO71" i="2" s="1"/>
  <c r="W71" i="2"/>
  <c r="AP71" i="2" s="1"/>
  <c r="V72" i="2"/>
  <c r="AO72" i="2" s="1"/>
  <c r="W72" i="2"/>
  <c r="AP72" i="2" s="1"/>
  <c r="V73" i="2"/>
  <c r="AO73" i="2" s="1"/>
  <c r="W73" i="2"/>
  <c r="AJ73" i="2" s="1"/>
  <c r="V74" i="2"/>
  <c r="AO74" i="2" s="1"/>
  <c r="W74" i="2"/>
  <c r="AP74" i="2" s="1"/>
  <c r="V75" i="2"/>
  <c r="AO75" i="2" s="1"/>
  <c r="W75" i="2"/>
  <c r="AP75" i="2" s="1"/>
  <c r="V76" i="2"/>
  <c r="AO76" i="2" s="1"/>
  <c r="W76" i="2"/>
  <c r="AP76" i="2" s="1"/>
  <c r="V77" i="2"/>
  <c r="AO77" i="2" s="1"/>
  <c r="W77" i="2"/>
  <c r="AJ77" i="2" s="1"/>
  <c r="V78" i="2"/>
  <c r="AO78" i="2" s="1"/>
  <c r="W78" i="2"/>
  <c r="AJ78" i="2" s="1"/>
  <c r="V79" i="2"/>
  <c r="AO79" i="2" s="1"/>
  <c r="W79" i="2"/>
  <c r="AP79" i="2" s="1"/>
  <c r="V80" i="2"/>
  <c r="AO80" i="2" s="1"/>
  <c r="W80" i="2"/>
  <c r="AP80" i="2" s="1"/>
  <c r="V81" i="2"/>
  <c r="AO81" i="2" s="1"/>
  <c r="W81" i="2"/>
  <c r="AJ81" i="2" s="1"/>
  <c r="V82" i="2"/>
  <c r="AO82" i="2" s="1"/>
  <c r="W82" i="2"/>
  <c r="AP82" i="2" s="1"/>
  <c r="V83" i="2"/>
  <c r="AO83" i="2" s="1"/>
  <c r="W83" i="2"/>
  <c r="AP83" i="2" s="1"/>
  <c r="V84" i="2"/>
  <c r="AO84" i="2" s="1"/>
  <c r="W84" i="2"/>
  <c r="AP84" i="2" s="1"/>
  <c r="V85" i="2"/>
  <c r="AO85" i="2" s="1"/>
  <c r="W85" i="2"/>
  <c r="AJ85" i="2" s="1"/>
  <c r="V86" i="2"/>
  <c r="AO86" i="2" s="1"/>
  <c r="W86" i="2"/>
  <c r="AJ86" i="2" s="1"/>
  <c r="V87" i="2"/>
  <c r="AO87" i="2" s="1"/>
  <c r="W87" i="2"/>
  <c r="AP87" i="2" s="1"/>
  <c r="V88" i="2"/>
  <c r="AO88" i="2" s="1"/>
  <c r="W88" i="2"/>
  <c r="AP88" i="2" s="1"/>
  <c r="V89" i="2"/>
  <c r="AO89" i="2" s="1"/>
  <c r="W89" i="2"/>
  <c r="AJ89" i="2" s="1"/>
  <c r="V90" i="2"/>
  <c r="AO90" i="2" s="1"/>
  <c r="W90" i="2"/>
  <c r="AJ90" i="2" s="1"/>
  <c r="V91" i="2"/>
  <c r="AO91" i="2" s="1"/>
  <c r="W91" i="2"/>
  <c r="AP91" i="2" s="1"/>
  <c r="V92" i="2"/>
  <c r="AO92" i="2" s="1"/>
  <c r="W92" i="2"/>
  <c r="AP92" i="2" s="1"/>
  <c r="W23" i="2"/>
  <c r="AJ23" i="2" s="1"/>
  <c r="V23" i="2"/>
  <c r="AO23" i="2" s="1"/>
  <c r="AP8" i="2"/>
  <c r="AP9" i="2"/>
  <c r="AP10" i="2"/>
  <c r="AP11" i="2"/>
  <c r="AP12" i="2"/>
  <c r="AP13" i="2"/>
  <c r="AP14" i="2"/>
  <c r="AV15" i="2"/>
  <c r="AP16" i="2"/>
  <c r="AP19" i="2"/>
  <c r="AJ7" i="2"/>
  <c r="AU8" i="2"/>
  <c r="AO9" i="2"/>
  <c r="AU10" i="2"/>
  <c r="AO11" i="2"/>
  <c r="AO12" i="2"/>
  <c r="AO13" i="2"/>
  <c r="AO14" i="2"/>
  <c r="AO15" i="2"/>
  <c r="AU16" i="2"/>
  <c r="AO19" i="2"/>
  <c r="AD18" i="4"/>
  <c r="AG18" i="4"/>
  <c r="BB22" i="4"/>
  <c r="BT23" i="4"/>
  <c r="BB24" i="4"/>
  <c r="AV25" i="4"/>
  <c r="BT26" i="4"/>
  <c r="BT27" i="4"/>
  <c r="BB28" i="4"/>
  <c r="BB29" i="4"/>
  <c r="BB30" i="4"/>
  <c r="BT31" i="4"/>
  <c r="BB32" i="4"/>
  <c r="AV33" i="4"/>
  <c r="BT34" i="4"/>
  <c r="BT35" i="4"/>
  <c r="BB36" i="4"/>
  <c r="BB37" i="4"/>
  <c r="BB38" i="4"/>
  <c r="BT39" i="4"/>
  <c r="BB40" i="4"/>
  <c r="AV41" i="4"/>
  <c r="BT42" i="4"/>
  <c r="BT43" i="4"/>
  <c r="BB44" i="4"/>
  <c r="BB45" i="4"/>
  <c r="BB46" i="4"/>
  <c r="BT47" i="4"/>
  <c r="BB48" i="4"/>
  <c r="AV49" i="4"/>
  <c r="BT50" i="4"/>
  <c r="BT21" i="4"/>
  <c r="AJ17" i="4"/>
  <c r="AJ8" i="4"/>
  <c r="AJ9" i="4"/>
  <c r="AV10" i="4"/>
  <c r="BT11" i="4"/>
  <c r="BB12" i="4"/>
  <c r="BB13" i="4"/>
  <c r="BB14" i="4"/>
  <c r="BB16" i="4"/>
  <c r="AY22" i="4"/>
  <c r="BW23" i="4"/>
  <c r="BE24" i="4"/>
  <c r="BW25" i="4"/>
  <c r="BW26" i="4"/>
  <c r="BW27" i="4"/>
  <c r="AM28" i="4"/>
  <c r="AM29" i="4"/>
  <c r="AY30" i="4"/>
  <c r="BW31" i="4"/>
  <c r="BE32" i="4"/>
  <c r="BW33" i="4"/>
  <c r="BW34" i="4"/>
  <c r="BW35" i="4"/>
  <c r="AM36" i="4"/>
  <c r="AM37" i="4"/>
  <c r="AY38" i="4"/>
  <c r="BW39" i="4"/>
  <c r="BE40" i="4"/>
  <c r="BW41" i="4"/>
  <c r="BW42" i="4"/>
  <c r="BW43" i="4"/>
  <c r="AM44" i="4"/>
  <c r="AM45" i="4"/>
  <c r="AY46" i="4"/>
  <c r="BW47" i="4"/>
  <c r="BE48" i="4"/>
  <c r="BW49" i="4"/>
  <c r="BW50" i="4"/>
  <c r="BW21" i="4"/>
  <c r="BE8" i="4"/>
  <c r="AM10" i="4"/>
  <c r="AM11" i="4"/>
  <c r="AY12" i="4"/>
  <c r="BW14" i="4"/>
  <c r="BE16" i="4"/>
  <c r="BE17" i="4"/>
  <c r="L49" i="21" l="1"/>
  <c r="M49" i="21" s="1"/>
  <c r="L50" i="21"/>
  <c r="M50" i="21" s="1"/>
  <c r="AJ28" i="2"/>
  <c r="AP15" i="2"/>
  <c r="AJ74" i="2"/>
  <c r="AJ30" i="2"/>
  <c r="AJ50" i="2"/>
  <c r="AJ42" i="2"/>
  <c r="AJ91" i="2"/>
  <c r="AJ82" i="2"/>
  <c r="AJ62" i="2"/>
  <c r="AI34" i="2"/>
  <c r="AV23" i="4"/>
  <c r="AM21" i="4"/>
  <c r="AP23" i="4"/>
  <c r="BW11" i="4"/>
  <c r="AI27" i="2"/>
  <c r="AI51" i="2"/>
  <c r="AJ76" i="2"/>
  <c r="AI83" i="2"/>
  <c r="AI66" i="2"/>
  <c r="AI59" i="2"/>
  <c r="AI8" i="2"/>
  <c r="AJ16" i="4"/>
  <c r="AP17" i="4"/>
  <c r="BW12" i="4"/>
  <c r="AM17" i="4"/>
  <c r="AJ39" i="4"/>
  <c r="AS44" i="4"/>
  <c r="AJ38" i="4"/>
  <c r="AS36" i="4"/>
  <c r="AJ37" i="4"/>
  <c r="AV17" i="4"/>
  <c r="AJ23" i="4"/>
  <c r="AV39" i="4"/>
  <c r="BB39" i="4"/>
  <c r="AJ22" i="4"/>
  <c r="AV31" i="4"/>
  <c r="BB35" i="4"/>
  <c r="AM8" i="4"/>
  <c r="AJ36" i="4"/>
  <c r="AM50" i="4"/>
  <c r="AS11" i="4"/>
  <c r="AS28" i="4"/>
  <c r="AY44" i="4"/>
  <c r="BB31" i="4"/>
  <c r="AJ47" i="4"/>
  <c r="AJ31" i="4"/>
  <c r="AM43" i="4"/>
  <c r="AS10" i="4"/>
  <c r="AY36" i="4"/>
  <c r="BB27" i="4"/>
  <c r="AJ46" i="4"/>
  <c r="AJ30" i="4"/>
  <c r="AM42" i="4"/>
  <c r="AP47" i="4"/>
  <c r="AY11" i="4"/>
  <c r="AY28" i="4"/>
  <c r="BB10" i="4"/>
  <c r="BB23" i="4"/>
  <c r="W18" i="4"/>
  <c r="AJ45" i="4"/>
  <c r="AJ29" i="4"/>
  <c r="AM35" i="4"/>
  <c r="AP39" i="4"/>
  <c r="AY10" i="4"/>
  <c r="BT10" i="4"/>
  <c r="BB21" i="4"/>
  <c r="AJ44" i="4"/>
  <c r="AJ28" i="4"/>
  <c r="AM34" i="4"/>
  <c r="AP31" i="4"/>
  <c r="AV47" i="4"/>
  <c r="BT9" i="4"/>
  <c r="BB47" i="4"/>
  <c r="AM27" i="4"/>
  <c r="BB43" i="4"/>
  <c r="AJ14" i="4"/>
  <c r="AM26" i="4"/>
  <c r="Z18" i="4"/>
  <c r="BE7" i="4"/>
  <c r="BW7" i="4"/>
  <c r="AY7" i="4"/>
  <c r="AS7" i="4"/>
  <c r="AM7" i="4"/>
  <c r="BE9" i="4"/>
  <c r="BW9" i="4"/>
  <c r="AY9" i="4"/>
  <c r="AS9" i="4"/>
  <c r="AM9" i="4"/>
  <c r="BW13" i="4"/>
  <c r="AY13" i="4"/>
  <c r="AS13" i="4"/>
  <c r="AM13" i="4"/>
  <c r="BE13" i="4"/>
  <c r="BT7" i="4"/>
  <c r="BT40" i="4"/>
  <c r="BW29" i="4"/>
  <c r="AP7" i="4"/>
  <c r="AP9" i="4"/>
  <c r="AP48" i="4"/>
  <c r="AP40" i="4"/>
  <c r="AP32" i="4"/>
  <c r="AP24" i="4"/>
  <c r="AS45" i="4"/>
  <c r="AS37" i="4"/>
  <c r="AS29" i="4"/>
  <c r="AV7" i="4"/>
  <c r="AV9" i="4"/>
  <c r="AV48" i="4"/>
  <c r="AV40" i="4"/>
  <c r="AV32" i="4"/>
  <c r="AV24" i="4"/>
  <c r="AY45" i="4"/>
  <c r="AY37" i="4"/>
  <c r="AY29" i="4"/>
  <c r="BT49" i="4"/>
  <c r="BT41" i="4"/>
  <c r="BT33" i="4"/>
  <c r="BT25" i="4"/>
  <c r="BW46" i="4"/>
  <c r="BW38" i="4"/>
  <c r="BW30" i="4"/>
  <c r="BW22" i="4"/>
  <c r="W51" i="4"/>
  <c r="BB11" i="4"/>
  <c r="BE14" i="4"/>
  <c r="BE21" i="4"/>
  <c r="BE47" i="4"/>
  <c r="BE43" i="4"/>
  <c r="BE39" i="4"/>
  <c r="BE35" i="4"/>
  <c r="BE31" i="4"/>
  <c r="BE27" i="4"/>
  <c r="BE23" i="4"/>
  <c r="BW37" i="4"/>
  <c r="Z51" i="4"/>
  <c r="AJ13" i="4"/>
  <c r="AM16" i="4"/>
  <c r="AJ21" i="4"/>
  <c r="AJ43" i="4"/>
  <c r="AJ35" i="4"/>
  <c r="AJ27" i="4"/>
  <c r="AM49" i="4"/>
  <c r="AM41" i="4"/>
  <c r="AM33" i="4"/>
  <c r="AM25" i="4"/>
  <c r="AP16" i="4"/>
  <c r="AP46" i="4"/>
  <c r="AP38" i="4"/>
  <c r="AP30" i="4"/>
  <c r="AP22" i="4"/>
  <c r="AS43" i="4"/>
  <c r="AS35" i="4"/>
  <c r="AS27" i="4"/>
  <c r="AV16" i="4"/>
  <c r="AV46" i="4"/>
  <c r="AV38" i="4"/>
  <c r="AV30" i="4"/>
  <c r="AV22" i="4"/>
  <c r="AY43" i="4"/>
  <c r="AY35" i="4"/>
  <c r="AY27" i="4"/>
  <c r="BT17" i="4"/>
  <c r="BT8" i="4"/>
  <c r="BW10" i="4"/>
  <c r="BW44" i="4"/>
  <c r="BW36" i="4"/>
  <c r="BW28" i="4"/>
  <c r="BB9" i="4"/>
  <c r="BE12" i="4"/>
  <c r="BE50" i="4"/>
  <c r="BE46" i="4"/>
  <c r="BE42" i="4"/>
  <c r="BE38" i="4"/>
  <c r="BE34" i="4"/>
  <c r="BE30" i="4"/>
  <c r="BE26" i="4"/>
  <c r="BE22" i="4"/>
  <c r="BT48" i="4"/>
  <c r="BT24" i="4"/>
  <c r="AJ12" i="4"/>
  <c r="AM14" i="4"/>
  <c r="AJ50" i="4"/>
  <c r="AJ42" i="4"/>
  <c r="AJ34" i="4"/>
  <c r="AJ26" i="4"/>
  <c r="AM48" i="4"/>
  <c r="AM40" i="4"/>
  <c r="AM32" i="4"/>
  <c r="AM24" i="4"/>
  <c r="AP14" i="4"/>
  <c r="AS17" i="4"/>
  <c r="AS8" i="4"/>
  <c r="AP45" i="4"/>
  <c r="AP37" i="4"/>
  <c r="AP29" i="4"/>
  <c r="AS50" i="4"/>
  <c r="AS42" i="4"/>
  <c r="AS34" i="4"/>
  <c r="AS26" i="4"/>
  <c r="AV14" i="4"/>
  <c r="AY17" i="4"/>
  <c r="AY8" i="4"/>
  <c r="AV45" i="4"/>
  <c r="AV37" i="4"/>
  <c r="AV29" i="4"/>
  <c r="AY50" i="4"/>
  <c r="AY42" i="4"/>
  <c r="AY34" i="4"/>
  <c r="AY26" i="4"/>
  <c r="BT16" i="4"/>
  <c r="BT46" i="4"/>
  <c r="BT38" i="4"/>
  <c r="BT30" i="4"/>
  <c r="BT22" i="4"/>
  <c r="BB7" i="4"/>
  <c r="BB8" i="4"/>
  <c r="BE11" i="4"/>
  <c r="BB50" i="4"/>
  <c r="BB42" i="4"/>
  <c r="BB34" i="4"/>
  <c r="BB26" i="4"/>
  <c r="AP8" i="4"/>
  <c r="BT32" i="4"/>
  <c r="AJ11" i="4"/>
  <c r="AJ49" i="4"/>
  <c r="AJ41" i="4"/>
  <c r="AJ33" i="4"/>
  <c r="AJ25" i="4"/>
  <c r="AM47" i="4"/>
  <c r="AM39" i="4"/>
  <c r="AM31" i="4"/>
  <c r="AM23" i="4"/>
  <c r="AP13" i="4"/>
  <c r="AS16" i="4"/>
  <c r="AS21" i="4"/>
  <c r="AP44" i="4"/>
  <c r="AP36" i="4"/>
  <c r="AP28" i="4"/>
  <c r="AS49" i="4"/>
  <c r="AS41" i="4"/>
  <c r="AS33" i="4"/>
  <c r="AS25" i="4"/>
  <c r="AV13" i="4"/>
  <c r="AY16" i="4"/>
  <c r="AV21" i="4"/>
  <c r="AV44" i="4"/>
  <c r="AV36" i="4"/>
  <c r="AV28" i="4"/>
  <c r="AY49" i="4"/>
  <c r="AY41" i="4"/>
  <c r="AY33" i="4"/>
  <c r="AY25" i="4"/>
  <c r="BT14" i="4"/>
  <c r="BW17" i="4"/>
  <c r="BW8" i="4"/>
  <c r="BT45" i="4"/>
  <c r="BT37" i="4"/>
  <c r="BT29" i="4"/>
  <c r="BB17" i="4"/>
  <c r="BE10" i="4"/>
  <c r="BE49" i="4"/>
  <c r="BE45" i="4"/>
  <c r="BE41" i="4"/>
  <c r="BE37" i="4"/>
  <c r="BE33" i="4"/>
  <c r="BE29" i="4"/>
  <c r="BE25" i="4"/>
  <c r="AV8" i="4"/>
  <c r="AJ10" i="4"/>
  <c r="AM12" i="4"/>
  <c r="AJ48" i="4"/>
  <c r="AJ40" i="4"/>
  <c r="AJ32" i="4"/>
  <c r="AJ24" i="4"/>
  <c r="AM46" i="4"/>
  <c r="AM38" i="4"/>
  <c r="AM30" i="4"/>
  <c r="AM22" i="4"/>
  <c r="AP12" i="4"/>
  <c r="AS14" i="4"/>
  <c r="AP21" i="4"/>
  <c r="AP43" i="4"/>
  <c r="AP35" i="4"/>
  <c r="AP27" i="4"/>
  <c r="AS48" i="4"/>
  <c r="AS40" i="4"/>
  <c r="AS32" i="4"/>
  <c r="AS24" i="4"/>
  <c r="AV12" i="4"/>
  <c r="AY14" i="4"/>
  <c r="AY21" i="4"/>
  <c r="AV43" i="4"/>
  <c r="AV35" i="4"/>
  <c r="AV27" i="4"/>
  <c r="AY48" i="4"/>
  <c r="AY40" i="4"/>
  <c r="AY32" i="4"/>
  <c r="AY24" i="4"/>
  <c r="BT13" i="4"/>
  <c r="BW16" i="4"/>
  <c r="BT44" i="4"/>
  <c r="BT36" i="4"/>
  <c r="BT28" i="4"/>
  <c r="BB49" i="4"/>
  <c r="BB41" i="4"/>
  <c r="BB33" i="4"/>
  <c r="BB25" i="4"/>
  <c r="BW45" i="4"/>
  <c r="AJ7" i="4"/>
  <c r="AP11" i="4"/>
  <c r="AP50" i="4"/>
  <c r="AP42" i="4"/>
  <c r="AP34" i="4"/>
  <c r="AP26" i="4"/>
  <c r="AS47" i="4"/>
  <c r="AS39" i="4"/>
  <c r="AS31" i="4"/>
  <c r="AS23" i="4"/>
  <c r="AV11" i="4"/>
  <c r="AV50" i="4"/>
  <c r="AV42" i="4"/>
  <c r="AV34" i="4"/>
  <c r="AV26" i="4"/>
  <c r="AY47" i="4"/>
  <c r="AY39" i="4"/>
  <c r="AY31" i="4"/>
  <c r="AY23" i="4"/>
  <c r="BT12" i="4"/>
  <c r="BW48" i="4"/>
  <c r="BW40" i="4"/>
  <c r="BW32" i="4"/>
  <c r="BW24" i="4"/>
  <c r="BE44" i="4"/>
  <c r="BE36" i="4"/>
  <c r="BE28" i="4"/>
  <c r="AP10" i="4"/>
  <c r="AS12" i="4"/>
  <c r="AP49" i="4"/>
  <c r="AP41" i="4"/>
  <c r="AP33" i="4"/>
  <c r="AP25" i="4"/>
  <c r="AS46" i="4"/>
  <c r="AS38" i="4"/>
  <c r="AS30" i="4"/>
  <c r="AS22" i="4"/>
  <c r="AI82" i="2"/>
  <c r="AI50" i="2"/>
  <c r="BA70" i="2"/>
  <c r="AI75" i="2"/>
  <c r="AI43" i="2"/>
  <c r="BA62" i="2"/>
  <c r="AI74" i="2"/>
  <c r="AI42" i="2"/>
  <c r="BA45" i="2"/>
  <c r="AI67" i="2"/>
  <c r="AI35" i="2"/>
  <c r="AI90" i="2"/>
  <c r="AI58" i="2"/>
  <c r="AI26" i="2"/>
  <c r="AJ48" i="2"/>
  <c r="AV34" i="2"/>
  <c r="BA29" i="2"/>
  <c r="AI92" i="2"/>
  <c r="AI87" i="2"/>
  <c r="AI79" i="2"/>
  <c r="AI71" i="2"/>
  <c r="AI63" i="2"/>
  <c r="AI55" i="2"/>
  <c r="AI47" i="2"/>
  <c r="AI39" i="2"/>
  <c r="AI31" i="2"/>
  <c r="AI91" i="2"/>
  <c r="AI86" i="2"/>
  <c r="AI78" i="2"/>
  <c r="AI70" i="2"/>
  <c r="AI62" i="2"/>
  <c r="AI54" i="2"/>
  <c r="AI46" i="2"/>
  <c r="AI38" i="2"/>
  <c r="AI30" i="2"/>
  <c r="AJ36" i="2"/>
  <c r="BA85" i="2"/>
  <c r="AI85" i="2"/>
  <c r="AI77" i="2"/>
  <c r="AI69" i="2"/>
  <c r="AI61" i="2"/>
  <c r="AI53" i="2"/>
  <c r="AI45" i="2"/>
  <c r="AI37" i="2"/>
  <c r="AI29" i="2"/>
  <c r="AI7" i="2"/>
  <c r="AI84" i="2"/>
  <c r="AI76" i="2"/>
  <c r="AI68" i="2"/>
  <c r="AI60" i="2"/>
  <c r="AI52" i="2"/>
  <c r="AI44" i="2"/>
  <c r="AI36" i="2"/>
  <c r="AI28" i="2"/>
  <c r="AJ52" i="2"/>
  <c r="AV86" i="2"/>
  <c r="BA39" i="2"/>
  <c r="AI23" i="2"/>
  <c r="AI89" i="2"/>
  <c r="AI81" i="2"/>
  <c r="AI73" i="2"/>
  <c r="AI65" i="2"/>
  <c r="AI57" i="2"/>
  <c r="AI49" i="2"/>
  <c r="AI41" i="2"/>
  <c r="AI33" i="2"/>
  <c r="AI25" i="2"/>
  <c r="AV42" i="2"/>
  <c r="BA37" i="2"/>
  <c r="AJ24" i="2"/>
  <c r="AI88" i="2"/>
  <c r="AI80" i="2"/>
  <c r="AI72" i="2"/>
  <c r="AI64" i="2"/>
  <c r="AI56" i="2"/>
  <c r="AI48" i="2"/>
  <c r="AI40" i="2"/>
  <c r="AI32" i="2"/>
  <c r="AI24" i="2"/>
  <c r="AJ75" i="2"/>
  <c r="AJ40" i="2"/>
  <c r="AV84" i="2"/>
  <c r="AV32" i="2"/>
  <c r="BA79" i="2"/>
  <c r="BA61" i="2"/>
  <c r="BA38" i="2"/>
  <c r="AV74" i="2"/>
  <c r="AV26" i="2"/>
  <c r="BA78" i="2"/>
  <c r="BA55" i="2"/>
  <c r="AJ64" i="2"/>
  <c r="AJ35" i="2"/>
  <c r="AV66" i="2"/>
  <c r="BA12" i="2"/>
  <c r="BA77" i="2"/>
  <c r="BA54" i="2"/>
  <c r="BA31" i="2"/>
  <c r="AV54" i="2"/>
  <c r="BA91" i="2"/>
  <c r="BA71" i="2"/>
  <c r="BA53" i="2"/>
  <c r="BA30" i="2"/>
  <c r="AV52" i="2"/>
  <c r="BA47" i="2"/>
  <c r="AJ88" i="2"/>
  <c r="AV46" i="2"/>
  <c r="BA87" i="2"/>
  <c r="BA69" i="2"/>
  <c r="BA46" i="2"/>
  <c r="BB11" i="2"/>
  <c r="BA86" i="2"/>
  <c r="BA63" i="2"/>
  <c r="BB10" i="2"/>
  <c r="BB51" i="2"/>
  <c r="AJ92" i="2"/>
  <c r="AJ68" i="2"/>
  <c r="AJ55" i="2"/>
  <c r="AP55" i="2"/>
  <c r="AV90" i="2"/>
  <c r="AV79" i="2"/>
  <c r="AV68" i="2"/>
  <c r="AV58" i="2"/>
  <c r="AV47" i="2"/>
  <c r="AV36" i="2"/>
  <c r="BA16" i="2"/>
  <c r="BA8" i="2"/>
  <c r="BA89" i="2"/>
  <c r="BA81" i="2"/>
  <c r="BA73" i="2"/>
  <c r="BA65" i="2"/>
  <c r="BA57" i="2"/>
  <c r="BA49" i="2"/>
  <c r="BA41" i="2"/>
  <c r="BA33" i="2"/>
  <c r="BA25" i="2"/>
  <c r="BB14" i="2"/>
  <c r="BB92" i="2"/>
  <c r="BB87" i="2"/>
  <c r="BB79" i="2"/>
  <c r="BB71" i="2"/>
  <c r="BB63" i="2"/>
  <c r="BB55" i="2"/>
  <c r="BB47" i="2"/>
  <c r="BB39" i="2"/>
  <c r="BB31" i="2"/>
  <c r="BB59" i="2"/>
  <c r="AJ80" i="2"/>
  <c r="AJ67" i="2"/>
  <c r="AJ27" i="2"/>
  <c r="AP47" i="2"/>
  <c r="AV88" i="2"/>
  <c r="AV78" i="2"/>
  <c r="AV67" i="2"/>
  <c r="AV56" i="2"/>
  <c r="AV35" i="2"/>
  <c r="AV24" i="2"/>
  <c r="BA15" i="2"/>
  <c r="BA23" i="2"/>
  <c r="BA88" i="2"/>
  <c r="BA80" i="2"/>
  <c r="BA72" i="2"/>
  <c r="BA64" i="2"/>
  <c r="BA56" i="2"/>
  <c r="BA48" i="2"/>
  <c r="BA40" i="2"/>
  <c r="BA32" i="2"/>
  <c r="BA24" i="2"/>
  <c r="BB13" i="2"/>
  <c r="BB91" i="2"/>
  <c r="BB86" i="2"/>
  <c r="BB78" i="2"/>
  <c r="BB70" i="2"/>
  <c r="BB62" i="2"/>
  <c r="BB54" i="2"/>
  <c r="BB46" i="2"/>
  <c r="BB38" i="2"/>
  <c r="BB30" i="2"/>
  <c r="AO10" i="2"/>
  <c r="BA7" i="2"/>
  <c r="BB67" i="2"/>
  <c r="AJ79" i="2"/>
  <c r="AJ51" i="2"/>
  <c r="AJ39" i="2"/>
  <c r="AP39" i="2"/>
  <c r="AV87" i="2"/>
  <c r="AV76" i="2"/>
  <c r="AV44" i="2"/>
  <c r="BA14" i="2"/>
  <c r="BA92" i="2"/>
  <c r="BB7" i="2"/>
  <c r="BB12" i="2"/>
  <c r="BB85" i="2"/>
  <c r="BB77" i="2"/>
  <c r="BB69" i="2"/>
  <c r="BB61" i="2"/>
  <c r="BB53" i="2"/>
  <c r="BB45" i="2"/>
  <c r="BB37" i="2"/>
  <c r="BB29" i="2"/>
  <c r="AV31" i="2"/>
  <c r="BB83" i="2"/>
  <c r="BB75" i="2"/>
  <c r="AJ63" i="2"/>
  <c r="AU23" i="2"/>
  <c r="AV75" i="2"/>
  <c r="AV64" i="2"/>
  <c r="AV43" i="2"/>
  <c r="BA13" i="2"/>
  <c r="BB19" i="2"/>
  <c r="BB84" i="2"/>
  <c r="BB76" i="2"/>
  <c r="BB68" i="2"/>
  <c r="BB60" i="2"/>
  <c r="BB52" i="2"/>
  <c r="BB44" i="2"/>
  <c r="BB36" i="2"/>
  <c r="BB28" i="2"/>
  <c r="AV92" i="2"/>
  <c r="BB27" i="2"/>
  <c r="AJ87" i="2"/>
  <c r="AJ60" i="2"/>
  <c r="AJ32" i="2"/>
  <c r="AV91" i="2"/>
  <c r="AV83" i="2"/>
  <c r="AV72" i="2"/>
  <c r="AV62" i="2"/>
  <c r="AV51" i="2"/>
  <c r="AV40" i="2"/>
  <c r="AV30" i="2"/>
  <c r="BA19" i="2"/>
  <c r="BA11" i="2"/>
  <c r="BA84" i="2"/>
  <c r="BA76" i="2"/>
  <c r="BA68" i="2"/>
  <c r="BA60" i="2"/>
  <c r="BA52" i="2"/>
  <c r="BA44" i="2"/>
  <c r="BA36" i="2"/>
  <c r="BA28" i="2"/>
  <c r="BB9" i="2"/>
  <c r="BB90" i="2"/>
  <c r="BB82" i="2"/>
  <c r="BB74" i="2"/>
  <c r="BB66" i="2"/>
  <c r="BB58" i="2"/>
  <c r="BB50" i="2"/>
  <c r="BB42" i="2"/>
  <c r="BB34" i="2"/>
  <c r="BB26" i="2"/>
  <c r="AV63" i="2"/>
  <c r="BB35" i="2"/>
  <c r="AJ84" i="2"/>
  <c r="AJ72" i="2"/>
  <c r="AJ59" i="2"/>
  <c r="AJ44" i="2"/>
  <c r="AJ31" i="2"/>
  <c r="AV82" i="2"/>
  <c r="AV71" i="2"/>
  <c r="AV60" i="2"/>
  <c r="AV50" i="2"/>
  <c r="AV28" i="2"/>
  <c r="BA10" i="2"/>
  <c r="BA83" i="2"/>
  <c r="BA75" i="2"/>
  <c r="BA67" i="2"/>
  <c r="BA59" i="2"/>
  <c r="BA51" i="2"/>
  <c r="BA43" i="2"/>
  <c r="BA35" i="2"/>
  <c r="BA27" i="2"/>
  <c r="BB16" i="2"/>
  <c r="BB8" i="2"/>
  <c r="BB89" i="2"/>
  <c r="BB81" i="2"/>
  <c r="BB73" i="2"/>
  <c r="BB65" i="2"/>
  <c r="BB57" i="2"/>
  <c r="BB49" i="2"/>
  <c r="BB41" i="2"/>
  <c r="BB33" i="2"/>
  <c r="BB25" i="2"/>
  <c r="BB43" i="2"/>
  <c r="AJ83" i="2"/>
  <c r="AJ71" i="2"/>
  <c r="AJ56" i="2"/>
  <c r="AJ43" i="2"/>
  <c r="AV80" i="2"/>
  <c r="AV70" i="2"/>
  <c r="AV59" i="2"/>
  <c r="AV48" i="2"/>
  <c r="AV38" i="2"/>
  <c r="AV27" i="2"/>
  <c r="BA9" i="2"/>
  <c r="BA90" i="2"/>
  <c r="BA82" i="2"/>
  <c r="BA74" i="2"/>
  <c r="BA66" i="2"/>
  <c r="BA58" i="2"/>
  <c r="BA50" i="2"/>
  <c r="BA42" i="2"/>
  <c r="BA34" i="2"/>
  <c r="BA26" i="2"/>
  <c r="BB15" i="2"/>
  <c r="BB23" i="2"/>
  <c r="BB88" i="2"/>
  <c r="BB80" i="2"/>
  <c r="BB72" i="2"/>
  <c r="BB64" i="2"/>
  <c r="BB56" i="2"/>
  <c r="BB48" i="2"/>
  <c r="BB40" i="2"/>
  <c r="BB32" i="2"/>
  <c r="BB24" i="2"/>
  <c r="AU92" i="2"/>
  <c r="AU87" i="2"/>
  <c r="AU83" i="2"/>
  <c r="AU79" i="2"/>
  <c r="AU75" i="2"/>
  <c r="AU71" i="2"/>
  <c r="AU67" i="2"/>
  <c r="AU63" i="2"/>
  <c r="AU59" i="2"/>
  <c r="AU55" i="2"/>
  <c r="AU51" i="2"/>
  <c r="AU47" i="2"/>
  <c r="AU43" i="2"/>
  <c r="AU39" i="2"/>
  <c r="AU35" i="2"/>
  <c r="AU31" i="2"/>
  <c r="AU27" i="2"/>
  <c r="AU91" i="2"/>
  <c r="AU90" i="2"/>
  <c r="AU86" i="2"/>
  <c r="AU82" i="2"/>
  <c r="AU78" i="2"/>
  <c r="AU74" i="2"/>
  <c r="AU70" i="2"/>
  <c r="AU66" i="2"/>
  <c r="AU62" i="2"/>
  <c r="AU58" i="2"/>
  <c r="AU54" i="2"/>
  <c r="AU50" i="2"/>
  <c r="AU46" i="2"/>
  <c r="AU42" i="2"/>
  <c r="AU38" i="2"/>
  <c r="AU34" i="2"/>
  <c r="AU30" i="2"/>
  <c r="AU26" i="2"/>
  <c r="AV89" i="2"/>
  <c r="AV85" i="2"/>
  <c r="AV81" i="2"/>
  <c r="AV77" i="2"/>
  <c r="AV73" i="2"/>
  <c r="AV69" i="2"/>
  <c r="AV65" i="2"/>
  <c r="AV61" i="2"/>
  <c r="AV57" i="2"/>
  <c r="AV53" i="2"/>
  <c r="AV49" i="2"/>
  <c r="AV45" i="2"/>
  <c r="AV41" i="2"/>
  <c r="AV37" i="2"/>
  <c r="AV33" i="2"/>
  <c r="AV29" i="2"/>
  <c r="AV25" i="2"/>
  <c r="AU89" i="2"/>
  <c r="AU85" i="2"/>
  <c r="AU81" i="2"/>
  <c r="AU77" i="2"/>
  <c r="AU73" i="2"/>
  <c r="AU69" i="2"/>
  <c r="AU65" i="2"/>
  <c r="AU61" i="2"/>
  <c r="AU57" i="2"/>
  <c r="AU53" i="2"/>
  <c r="AU49" i="2"/>
  <c r="AU45" i="2"/>
  <c r="AU41" i="2"/>
  <c r="AU37" i="2"/>
  <c r="AU33" i="2"/>
  <c r="AU29" i="2"/>
  <c r="AU25" i="2"/>
  <c r="AV23" i="2"/>
  <c r="AU88" i="2"/>
  <c r="AU84" i="2"/>
  <c r="AU80" i="2"/>
  <c r="AU76" i="2"/>
  <c r="AU72" i="2"/>
  <c r="AU68" i="2"/>
  <c r="AU64" i="2"/>
  <c r="AU60" i="2"/>
  <c r="AU56" i="2"/>
  <c r="AU52" i="2"/>
  <c r="AU48" i="2"/>
  <c r="AU44" i="2"/>
  <c r="AU40" i="2"/>
  <c r="AU36" i="2"/>
  <c r="AU32" i="2"/>
  <c r="AU28" i="2"/>
  <c r="AU24" i="2"/>
  <c r="AP90" i="2"/>
  <c r="AP86" i="2"/>
  <c r="AP78" i="2"/>
  <c r="AP70" i="2"/>
  <c r="AP66" i="2"/>
  <c r="AP58" i="2"/>
  <c r="AP54" i="2"/>
  <c r="AP46" i="2"/>
  <c r="AP38" i="2"/>
  <c r="AP34" i="2"/>
  <c r="AP26" i="2"/>
  <c r="AO7" i="2"/>
  <c r="AP89" i="2"/>
  <c r="AP85" i="2"/>
  <c r="AP81" i="2"/>
  <c r="AP77" i="2"/>
  <c r="AP73" i="2"/>
  <c r="AP69" i="2"/>
  <c r="AP65" i="2"/>
  <c r="AP61" i="2"/>
  <c r="AP57" i="2"/>
  <c r="AP53" i="2"/>
  <c r="AP49" i="2"/>
  <c r="AP45" i="2"/>
  <c r="AP41" i="2"/>
  <c r="AP37" i="2"/>
  <c r="AP33" i="2"/>
  <c r="AP29" i="2"/>
  <c r="AP25" i="2"/>
  <c r="AV7" i="2"/>
  <c r="AP23" i="2"/>
  <c r="AJ8" i="2"/>
  <c r="AV14" i="2"/>
  <c r="AV13" i="2"/>
  <c r="AV12" i="2"/>
  <c r="AV19" i="2"/>
  <c r="AV11" i="2"/>
  <c r="AV10" i="2"/>
  <c r="AV9" i="2"/>
  <c r="AV16" i="2"/>
  <c r="AV8" i="2"/>
  <c r="AU15" i="2"/>
  <c r="AO16" i="2"/>
  <c r="AU14" i="2"/>
  <c r="AP7" i="2"/>
  <c r="AU13" i="2"/>
  <c r="AU12" i="2"/>
  <c r="AU19" i="2"/>
  <c r="AU11" i="2"/>
  <c r="AO8" i="2"/>
  <c r="AU9" i="2"/>
  <c r="Z53" i="4" l="1"/>
  <c r="L19" i="28" s="1"/>
  <c r="AP18" i="4"/>
  <c r="W53" i="4"/>
  <c r="K19" i="28" s="1"/>
  <c r="BT18" i="4"/>
  <c r="BW18" i="4"/>
  <c r="AM18" i="4"/>
  <c r="BB51" i="4"/>
  <c r="AY51" i="4"/>
  <c r="AY18" i="4"/>
  <c r="BW51" i="4"/>
  <c r="AS51" i="4"/>
  <c r="AP51" i="4"/>
  <c r="BT51" i="4"/>
  <c r="BB18" i="4"/>
  <c r="AV51" i="4"/>
  <c r="AM51" i="4"/>
  <c r="AJ18" i="4"/>
  <c r="AJ51" i="4"/>
  <c r="AS18" i="4"/>
  <c r="BE51" i="4"/>
  <c r="BE18" i="4"/>
  <c r="AV18" i="4"/>
  <c r="AJ93" i="2"/>
  <c r="Q19" i="28" l="1"/>
  <c r="K26" i="28"/>
  <c r="K41" i="28" s="1"/>
  <c r="K33" i="28"/>
  <c r="L26" i="28"/>
  <c r="L41" i="28" s="1"/>
  <c r="L33" i="28"/>
  <c r="L40" i="28" s="1"/>
  <c r="AS53" i="4"/>
  <c r="AS54" i="4" s="1"/>
  <c r="AS55" i="4" s="1"/>
  <c r="BT53" i="4"/>
  <c r="AP53" i="4"/>
  <c r="BW53" i="4"/>
  <c r="BW54" i="4" s="1"/>
  <c r="BW55" i="4" s="1"/>
  <c r="AY53" i="4"/>
  <c r="AY54" i="4" s="1"/>
  <c r="AY55" i="4" s="1"/>
  <c r="AV53" i="4"/>
  <c r="AJ53" i="4"/>
  <c r="BB53" i="4"/>
  <c r="BE53" i="4"/>
  <c r="BE54" i="4" s="1"/>
  <c r="BE55" i="4" s="1"/>
  <c r="AM53" i="4"/>
  <c r="AM54" i="4" s="1"/>
  <c r="AM55" i="4" s="1"/>
  <c r="L27" i="21"/>
  <c r="L31" i="21"/>
  <c r="L26" i="21"/>
  <c r="P33" i="28" l="1"/>
  <c r="K40" i="28"/>
  <c r="L25" i="21"/>
  <c r="BB54" i="4"/>
  <c r="BB55" i="4" s="1"/>
  <c r="E11" i="21"/>
  <c r="AJ54" i="4"/>
  <c r="AJ55" i="4" s="1"/>
  <c r="E8" i="21"/>
  <c r="AV54" i="4"/>
  <c r="AV55" i="4" s="1"/>
  <c r="E10" i="21"/>
  <c r="E43" i="21" s="1"/>
  <c r="AP54" i="4"/>
  <c r="AP55" i="4" s="1"/>
  <c r="E9" i="21"/>
  <c r="E42" i="21" s="1"/>
  <c r="BT54" i="4"/>
  <c r="BT55" i="4" s="1"/>
  <c r="E14" i="21"/>
  <c r="E47" i="21" s="1"/>
  <c r="H8" i="4"/>
  <c r="I8" i="4"/>
  <c r="J8" i="4"/>
  <c r="K8" i="4"/>
  <c r="H9" i="4"/>
  <c r="I9" i="4"/>
  <c r="J9" i="4"/>
  <c r="K9" i="4"/>
  <c r="H10" i="4"/>
  <c r="I10" i="4"/>
  <c r="J10" i="4"/>
  <c r="K10" i="4"/>
  <c r="H21" i="4"/>
  <c r="I21" i="4"/>
  <c r="J21" i="4"/>
  <c r="K21" i="4"/>
  <c r="H22" i="4"/>
  <c r="I22" i="4"/>
  <c r="J22" i="4"/>
  <c r="K22" i="4"/>
  <c r="H23" i="4"/>
  <c r="I23" i="4"/>
  <c r="J23" i="4"/>
  <c r="K23" i="4"/>
  <c r="H24" i="4"/>
  <c r="I24" i="4"/>
  <c r="J24" i="4"/>
  <c r="K24" i="4"/>
  <c r="H25" i="4"/>
  <c r="I25" i="4"/>
  <c r="J25" i="4"/>
  <c r="K25" i="4"/>
  <c r="H26" i="4"/>
  <c r="I26" i="4"/>
  <c r="J26" i="4"/>
  <c r="K26" i="4"/>
  <c r="H27" i="4"/>
  <c r="I27" i="4"/>
  <c r="J27" i="4"/>
  <c r="K27" i="4"/>
  <c r="H28" i="4"/>
  <c r="I28" i="4"/>
  <c r="J28" i="4"/>
  <c r="K28" i="4"/>
  <c r="H29" i="4"/>
  <c r="I29" i="4"/>
  <c r="J29" i="4"/>
  <c r="K29" i="4"/>
  <c r="H30" i="4"/>
  <c r="I30" i="4"/>
  <c r="J30" i="4"/>
  <c r="K30" i="4"/>
  <c r="H31" i="4"/>
  <c r="I31" i="4"/>
  <c r="J31" i="4"/>
  <c r="K31" i="4"/>
  <c r="H32" i="4"/>
  <c r="I32" i="4"/>
  <c r="J32" i="4"/>
  <c r="K32" i="4"/>
  <c r="H33" i="4"/>
  <c r="I33" i="4"/>
  <c r="J33" i="4"/>
  <c r="K33" i="4"/>
  <c r="H34" i="4"/>
  <c r="I34" i="4"/>
  <c r="J34" i="4"/>
  <c r="K34" i="4"/>
  <c r="H35" i="4"/>
  <c r="I35" i="4"/>
  <c r="J35" i="4"/>
  <c r="K35" i="4"/>
  <c r="H36" i="4"/>
  <c r="I36" i="4"/>
  <c r="J36" i="4"/>
  <c r="K36" i="4"/>
  <c r="H37" i="4"/>
  <c r="I37" i="4"/>
  <c r="J37" i="4"/>
  <c r="K37" i="4"/>
  <c r="H38" i="4"/>
  <c r="I38" i="4"/>
  <c r="J38" i="4"/>
  <c r="K38" i="4"/>
  <c r="H39" i="4"/>
  <c r="I39" i="4"/>
  <c r="J39" i="4"/>
  <c r="K39" i="4"/>
  <c r="H40" i="4"/>
  <c r="I40" i="4"/>
  <c r="J40" i="4"/>
  <c r="K40" i="4"/>
  <c r="H41" i="4"/>
  <c r="I41" i="4"/>
  <c r="J41" i="4"/>
  <c r="K41" i="4"/>
  <c r="H42" i="4"/>
  <c r="I42" i="4"/>
  <c r="J42" i="4"/>
  <c r="K42" i="4"/>
  <c r="H43" i="4"/>
  <c r="I43" i="4"/>
  <c r="J43" i="4"/>
  <c r="K43" i="4"/>
  <c r="H44" i="4"/>
  <c r="I44" i="4"/>
  <c r="J44" i="4"/>
  <c r="K44" i="4"/>
  <c r="H45" i="4"/>
  <c r="I45" i="4"/>
  <c r="J45" i="4"/>
  <c r="K45" i="4"/>
  <c r="H11" i="4"/>
  <c r="I11" i="4"/>
  <c r="J11" i="4"/>
  <c r="K11" i="4"/>
  <c r="H46" i="4"/>
  <c r="I46" i="4"/>
  <c r="J46" i="4"/>
  <c r="K46" i="4"/>
  <c r="H47" i="4"/>
  <c r="I47" i="4"/>
  <c r="J47" i="4"/>
  <c r="K47" i="4"/>
  <c r="H12" i="4"/>
  <c r="I12" i="4"/>
  <c r="J12" i="4"/>
  <c r="K12" i="4"/>
  <c r="H13" i="4"/>
  <c r="I13" i="4"/>
  <c r="J13" i="4"/>
  <c r="K13" i="4"/>
  <c r="H14" i="4"/>
  <c r="I14" i="4"/>
  <c r="J14" i="4"/>
  <c r="K14" i="4"/>
  <c r="H16" i="4"/>
  <c r="I16" i="4"/>
  <c r="J16" i="4"/>
  <c r="K16" i="4"/>
  <c r="H17" i="4"/>
  <c r="I17" i="4"/>
  <c r="J17" i="4"/>
  <c r="K17" i="4"/>
  <c r="H48" i="4"/>
  <c r="I48" i="4"/>
  <c r="J48" i="4"/>
  <c r="K48" i="4"/>
  <c r="H49" i="4"/>
  <c r="I49" i="4"/>
  <c r="J49" i="4"/>
  <c r="K49" i="4"/>
  <c r="H50" i="4"/>
  <c r="I50" i="4"/>
  <c r="J50" i="4"/>
  <c r="K50" i="4"/>
  <c r="H7" i="4"/>
  <c r="J7" i="4"/>
  <c r="I7" i="4"/>
  <c r="K7" i="4"/>
  <c r="E41" i="21" l="1"/>
  <c r="E19" i="21"/>
  <c r="L28" i="21"/>
  <c r="E35" i="21"/>
  <c r="E44" i="21"/>
  <c r="L14" i="21"/>
  <c r="H18" i="4"/>
  <c r="I18" i="4"/>
  <c r="H51" i="4"/>
  <c r="J18" i="4"/>
  <c r="I51" i="4"/>
  <c r="K51" i="4"/>
  <c r="J51" i="4"/>
  <c r="K18" i="4"/>
  <c r="L35" i="21" l="1"/>
  <c r="E51" i="21"/>
  <c r="I53" i="4"/>
  <c r="H53" i="4"/>
  <c r="L47" i="21"/>
  <c r="M47" i="21" s="1"/>
  <c r="K53" i="4"/>
  <c r="J53" i="4"/>
  <c r="AD20" i="2"/>
  <c r="AF20" i="2"/>
  <c r="AG20" i="2"/>
  <c r="AC20" i="2"/>
  <c r="Z92" i="2"/>
  <c r="Y92" i="2"/>
  <c r="Z91" i="2"/>
  <c r="Y91" i="2"/>
  <c r="Z90" i="2"/>
  <c r="Y90" i="2"/>
  <c r="Z89" i="2"/>
  <c r="AS89" i="2" s="1"/>
  <c r="Y89" i="2"/>
  <c r="Z88" i="2"/>
  <c r="Y88" i="2"/>
  <c r="Z87" i="2"/>
  <c r="Y87" i="2"/>
  <c r="Z86" i="2"/>
  <c r="AY86" i="2" s="1"/>
  <c r="Y86" i="2"/>
  <c r="Z85" i="2"/>
  <c r="Y85" i="2"/>
  <c r="Z84" i="2"/>
  <c r="Y84" i="2"/>
  <c r="Z83" i="2"/>
  <c r="Y83" i="2"/>
  <c r="Z82" i="2"/>
  <c r="AY82" i="2" s="1"/>
  <c r="Y82" i="2"/>
  <c r="Z81" i="2"/>
  <c r="AS81" i="2" s="1"/>
  <c r="Y81" i="2"/>
  <c r="Z80" i="2"/>
  <c r="Y80" i="2"/>
  <c r="Z79" i="2"/>
  <c r="AY79" i="2" s="1"/>
  <c r="Y79" i="2"/>
  <c r="Z78" i="2"/>
  <c r="AY78" i="2" s="1"/>
  <c r="Y78" i="2"/>
  <c r="Z77" i="2"/>
  <c r="AS77" i="2" s="1"/>
  <c r="Y77" i="2"/>
  <c r="Z76" i="2"/>
  <c r="Y76" i="2"/>
  <c r="Z75" i="2"/>
  <c r="AY75" i="2" s="1"/>
  <c r="Y75" i="2"/>
  <c r="Z74" i="2"/>
  <c r="Y74" i="2"/>
  <c r="Z73" i="2"/>
  <c r="AS73" i="2" s="1"/>
  <c r="Y73" i="2"/>
  <c r="Z72" i="2"/>
  <c r="Y72" i="2"/>
  <c r="Z71" i="2"/>
  <c r="Y71" i="2"/>
  <c r="Z70" i="2"/>
  <c r="Y70" i="2"/>
  <c r="Z69" i="2"/>
  <c r="Y69" i="2"/>
  <c r="Z68" i="2"/>
  <c r="Y68" i="2"/>
  <c r="AR68" i="2" s="1"/>
  <c r="Z67" i="2"/>
  <c r="Y67" i="2"/>
  <c r="Z66" i="2"/>
  <c r="AM66" i="2" s="1"/>
  <c r="Y66" i="2"/>
  <c r="Z65" i="2"/>
  <c r="BE65" i="2" s="1"/>
  <c r="Y65" i="2"/>
  <c r="Z64" i="2"/>
  <c r="AM64" i="2" s="1"/>
  <c r="Y64" i="2"/>
  <c r="AR64" i="2" s="1"/>
  <c r="Z63" i="2"/>
  <c r="Y63" i="2"/>
  <c r="Z62" i="2"/>
  <c r="BE62" i="2" s="1"/>
  <c r="Y62" i="2"/>
  <c r="Z61" i="2"/>
  <c r="BE61" i="2" s="1"/>
  <c r="Y61" i="2"/>
  <c r="Z60" i="2"/>
  <c r="BE60" i="2" s="1"/>
  <c r="Y60" i="2"/>
  <c r="Z59" i="2"/>
  <c r="Y59" i="2"/>
  <c r="Z58" i="2"/>
  <c r="Y58" i="2"/>
  <c r="Z57" i="2"/>
  <c r="BE57" i="2" s="1"/>
  <c r="Y57" i="2"/>
  <c r="Z56" i="2"/>
  <c r="Y56" i="2"/>
  <c r="AR56" i="2" s="1"/>
  <c r="Z55" i="2"/>
  <c r="Y55" i="2"/>
  <c r="AR55" i="2" s="1"/>
  <c r="Z54" i="2"/>
  <c r="Y54" i="2"/>
  <c r="AL54" i="2" s="1"/>
  <c r="Z53" i="2"/>
  <c r="Y53" i="2"/>
  <c r="Z52" i="2"/>
  <c r="Y52" i="2"/>
  <c r="BD52" i="2" s="1"/>
  <c r="Z51" i="2"/>
  <c r="Y51" i="2"/>
  <c r="AR51" i="2" s="1"/>
  <c r="Z50" i="2"/>
  <c r="Y50" i="2"/>
  <c r="AL50" i="2" s="1"/>
  <c r="Z49" i="2"/>
  <c r="Y49" i="2"/>
  <c r="Z48" i="2"/>
  <c r="Y48" i="2"/>
  <c r="BD48" i="2" s="1"/>
  <c r="Z47" i="2"/>
  <c r="Y47" i="2"/>
  <c r="AR47" i="2" s="1"/>
  <c r="Z46" i="2"/>
  <c r="Y46" i="2"/>
  <c r="AL46" i="2" s="1"/>
  <c r="Z45" i="2"/>
  <c r="Y45" i="2"/>
  <c r="Z44" i="2"/>
  <c r="Y44" i="2"/>
  <c r="AR44" i="2" s="1"/>
  <c r="Z43" i="2"/>
  <c r="Y43" i="2"/>
  <c r="AR43" i="2" s="1"/>
  <c r="Z42" i="2"/>
  <c r="AY42" i="2" s="1"/>
  <c r="Y42" i="2"/>
  <c r="AL42" i="2" s="1"/>
  <c r="Z41" i="2"/>
  <c r="AY41" i="2" s="1"/>
  <c r="Y41" i="2"/>
  <c r="BD41" i="2" s="1"/>
  <c r="Z40" i="2"/>
  <c r="AY40" i="2" s="1"/>
  <c r="Y40" i="2"/>
  <c r="AX40" i="2" s="1"/>
  <c r="Z39" i="2"/>
  <c r="AY39" i="2" s="1"/>
  <c r="Y39" i="2"/>
  <c r="BD39" i="2" s="1"/>
  <c r="Z38" i="2"/>
  <c r="AY38" i="2" s="1"/>
  <c r="Y38" i="2"/>
  <c r="BD38" i="2" s="1"/>
  <c r="Z37" i="2"/>
  <c r="AY37" i="2" s="1"/>
  <c r="Y37" i="2"/>
  <c r="AR37" i="2" s="1"/>
  <c r="Z36" i="2"/>
  <c r="AY36" i="2" s="1"/>
  <c r="Y36" i="2"/>
  <c r="BD36" i="2" s="1"/>
  <c r="Z35" i="2"/>
  <c r="AY35" i="2" s="1"/>
  <c r="Y35" i="2"/>
  <c r="AX35" i="2" s="1"/>
  <c r="Z34" i="2"/>
  <c r="AY34" i="2" s="1"/>
  <c r="Y34" i="2"/>
  <c r="BD34" i="2" s="1"/>
  <c r="Z33" i="2"/>
  <c r="AM33" i="2" s="1"/>
  <c r="Y33" i="2"/>
  <c r="AL33" i="2" s="1"/>
  <c r="Z32" i="2"/>
  <c r="Y32" i="2"/>
  <c r="BD32" i="2" s="1"/>
  <c r="Z31" i="2"/>
  <c r="AY31" i="2" s="1"/>
  <c r="Y31" i="2"/>
  <c r="Z30" i="2"/>
  <c r="Y30" i="2"/>
  <c r="AR30" i="2" s="1"/>
  <c r="Z29" i="2"/>
  <c r="AY29" i="2" s="1"/>
  <c r="Y29" i="2"/>
  <c r="AR29" i="2" s="1"/>
  <c r="Z28" i="2"/>
  <c r="Y28" i="2"/>
  <c r="BD28" i="2" s="1"/>
  <c r="Z27" i="2"/>
  <c r="AY27" i="2" s="1"/>
  <c r="Y27" i="2"/>
  <c r="BD27" i="2" s="1"/>
  <c r="Z26" i="2"/>
  <c r="Y26" i="2"/>
  <c r="AR26" i="2" s="1"/>
  <c r="Z25" i="2"/>
  <c r="AY25" i="2" s="1"/>
  <c r="Y25" i="2"/>
  <c r="BD25" i="2" s="1"/>
  <c r="Z24" i="2"/>
  <c r="Y24" i="2"/>
  <c r="BD24" i="2" s="1"/>
  <c r="Z23" i="2"/>
  <c r="BE23" i="2" s="1"/>
  <c r="Y23" i="2"/>
  <c r="BD23" i="2" s="1"/>
  <c r="W93" i="2"/>
  <c r="AR19" i="2"/>
  <c r="AY16" i="2"/>
  <c r="AJ16" i="2"/>
  <c r="AR15" i="2"/>
  <c r="AI15" i="2"/>
  <c r="BD13" i="2"/>
  <c r="AI13" i="2"/>
  <c r="AR12" i="2"/>
  <c r="AJ12" i="2"/>
  <c r="AI12" i="2"/>
  <c r="AR11" i="2"/>
  <c r="BD10" i="2"/>
  <c r="BD9" i="2"/>
  <c r="AI9" i="2"/>
  <c r="AL7" i="2"/>
  <c r="F17" i="3"/>
  <c r="F18" i="3" s="1"/>
  <c r="H17" i="3"/>
  <c r="H18" i="3" s="1"/>
  <c r="I17" i="3"/>
  <c r="I18" i="3" s="1"/>
  <c r="L17" i="3"/>
  <c r="L18" i="3" s="1"/>
  <c r="O17" i="3"/>
  <c r="O18" i="3" s="1"/>
  <c r="E17" i="3"/>
  <c r="E18" i="3" s="1"/>
  <c r="AI10" i="2" l="1"/>
  <c r="AI14" i="2"/>
  <c r="AI16" i="2"/>
  <c r="AI19" i="2"/>
  <c r="AJ19" i="2"/>
  <c r="AI11" i="2"/>
  <c r="AJ10" i="2"/>
  <c r="AJ14" i="2"/>
  <c r="AJ9" i="2"/>
  <c r="AJ11" i="2"/>
  <c r="AJ13" i="2"/>
  <c r="AJ15" i="2"/>
  <c r="AR7" i="2"/>
  <c r="AR28" i="2"/>
  <c r="AR42" i="2"/>
  <c r="AR32" i="2"/>
  <c r="AA86" i="2"/>
  <c r="AR24" i="2"/>
  <c r="AA9" i="2"/>
  <c r="AA13" i="2"/>
  <c r="AA15" i="2"/>
  <c r="AM61" i="2"/>
  <c r="AR48" i="2"/>
  <c r="AR54" i="2"/>
  <c r="AS79" i="2"/>
  <c r="AA28" i="2"/>
  <c r="AR36" i="2"/>
  <c r="BD54" i="2"/>
  <c r="BD44" i="2"/>
  <c r="AX50" i="2"/>
  <c r="BE33" i="2"/>
  <c r="AM65" i="2"/>
  <c r="AS75" i="2"/>
  <c r="AL34" i="2"/>
  <c r="AR40" i="2"/>
  <c r="AR46" i="2"/>
  <c r="AR34" i="2"/>
  <c r="BD46" i="2"/>
  <c r="AX16" i="2"/>
  <c r="AL16" i="2"/>
  <c r="AX31" i="2"/>
  <c r="AL31" i="2"/>
  <c r="BD49" i="2"/>
  <c r="AR49" i="2"/>
  <c r="BD53" i="2"/>
  <c r="AR53" i="2"/>
  <c r="AX57" i="2"/>
  <c r="BD57" i="2"/>
  <c r="AR57" i="2"/>
  <c r="AX59" i="2"/>
  <c r="AL59" i="2"/>
  <c r="BD59" i="2"/>
  <c r="AX61" i="2"/>
  <c r="AL61" i="2"/>
  <c r="BD61" i="2"/>
  <c r="AX63" i="2"/>
  <c r="AL63" i="2"/>
  <c r="BD63" i="2"/>
  <c r="AX65" i="2"/>
  <c r="AL65" i="2"/>
  <c r="BD65" i="2"/>
  <c r="AX67" i="2"/>
  <c r="AL67" i="2"/>
  <c r="BD67" i="2"/>
  <c r="BD69" i="2"/>
  <c r="AX69" i="2"/>
  <c r="AL69" i="2"/>
  <c r="BD71" i="2"/>
  <c r="AR71" i="2"/>
  <c r="AX71" i="2"/>
  <c r="AL71" i="2"/>
  <c r="BD73" i="2"/>
  <c r="AR73" i="2"/>
  <c r="AX73" i="2"/>
  <c r="AL73" i="2"/>
  <c r="BD75" i="2"/>
  <c r="AR75" i="2"/>
  <c r="AX75" i="2"/>
  <c r="AL75" i="2"/>
  <c r="BD77" i="2"/>
  <c r="AR77" i="2"/>
  <c r="AX77" i="2"/>
  <c r="AL77" i="2"/>
  <c r="BD79" i="2"/>
  <c r="AR79" i="2"/>
  <c r="AX79" i="2"/>
  <c r="AL79" i="2"/>
  <c r="BD81" i="2"/>
  <c r="AR81" i="2"/>
  <c r="AX81" i="2"/>
  <c r="AL81" i="2"/>
  <c r="BD83" i="2"/>
  <c r="AR83" i="2"/>
  <c r="AX83" i="2"/>
  <c r="AL83" i="2"/>
  <c r="BD85" i="2"/>
  <c r="AR85" i="2"/>
  <c r="AX85" i="2"/>
  <c r="AL85" i="2"/>
  <c r="BD87" i="2"/>
  <c r="AR87" i="2"/>
  <c r="AX87" i="2"/>
  <c r="AL87" i="2"/>
  <c r="BD89" i="2"/>
  <c r="AR89" i="2"/>
  <c r="AX89" i="2"/>
  <c r="AL89" i="2"/>
  <c r="BD92" i="2"/>
  <c r="AR92" i="2"/>
  <c r="AX92" i="2"/>
  <c r="AL92" i="2"/>
  <c r="AR25" i="2"/>
  <c r="AR33" i="2"/>
  <c r="BD35" i="2"/>
  <c r="AX37" i="2"/>
  <c r="AL39" i="2"/>
  <c r="AL57" i="2"/>
  <c r="AM60" i="2"/>
  <c r="AR67" i="2"/>
  <c r="AY8" i="2"/>
  <c r="AM8" i="2"/>
  <c r="BE8" i="2"/>
  <c r="AS8" i="2"/>
  <c r="AY10" i="2"/>
  <c r="AM10" i="2"/>
  <c r="BE10" i="2"/>
  <c r="AS10" i="2"/>
  <c r="AA12" i="2"/>
  <c r="AY12" i="2"/>
  <c r="AM12" i="2"/>
  <c r="BE12" i="2"/>
  <c r="AS12" i="2"/>
  <c r="AY14" i="2"/>
  <c r="AM14" i="2"/>
  <c r="BE14" i="2"/>
  <c r="AS14" i="2"/>
  <c r="BD31" i="2"/>
  <c r="AX34" i="2"/>
  <c r="AL36" i="2"/>
  <c r="AR39" i="2"/>
  <c r="BD40" i="2"/>
  <c r="AX42" i="2"/>
  <c r="AX46" i="2"/>
  <c r="BD50" i="2"/>
  <c r="AL53" i="2"/>
  <c r="AL55" i="2"/>
  <c r="AX8" i="2"/>
  <c r="AL8" i="2"/>
  <c r="Y93" i="2"/>
  <c r="AX23" i="2"/>
  <c r="AL23" i="2"/>
  <c r="BD45" i="2"/>
  <c r="AR45" i="2"/>
  <c r="AR8" i="2"/>
  <c r="AX33" i="2"/>
  <c r="BD37" i="2"/>
  <c r="AX39" i="2"/>
  <c r="AL41" i="2"/>
  <c r="AL51" i="2"/>
  <c r="AX14" i="2"/>
  <c r="AL14" i="2"/>
  <c r="AX27" i="2"/>
  <c r="AL27" i="2"/>
  <c r="AA36" i="2"/>
  <c r="AA44" i="2"/>
  <c r="AL49" i="2"/>
  <c r="AA7" i="2"/>
  <c r="AA19" i="2"/>
  <c r="AA24" i="2"/>
  <c r="AA32" i="2"/>
  <c r="AA34" i="2"/>
  <c r="AA40" i="2"/>
  <c r="AA42" i="2"/>
  <c r="AA48" i="2"/>
  <c r="AA50" i="2"/>
  <c r="AA56" i="2"/>
  <c r="AA58" i="2"/>
  <c r="AA64" i="2"/>
  <c r="AA66" i="2"/>
  <c r="AA72" i="2"/>
  <c r="AA74" i="2"/>
  <c r="AA80" i="2"/>
  <c r="AA82" i="2"/>
  <c r="AA88" i="2"/>
  <c r="AA90" i="2"/>
  <c r="AA30" i="2"/>
  <c r="BD14" i="2"/>
  <c r="AX36" i="2"/>
  <c r="AL38" i="2"/>
  <c r="AR41" i="2"/>
  <c r="BD42" i="2"/>
  <c r="AL45" i="2"/>
  <c r="AL47" i="2"/>
  <c r="AX51" i="2"/>
  <c r="AX53" i="2"/>
  <c r="AR61" i="2"/>
  <c r="AX10" i="2"/>
  <c r="AL10" i="2"/>
  <c r="AX29" i="2"/>
  <c r="AL29" i="2"/>
  <c r="AA54" i="2"/>
  <c r="AA60" i="2"/>
  <c r="AA68" i="2"/>
  <c r="AA76" i="2"/>
  <c r="AR16" i="2"/>
  <c r="AX55" i="2"/>
  <c r="AA11" i="2"/>
  <c r="AA26" i="2"/>
  <c r="AX7" i="2"/>
  <c r="AX9" i="2"/>
  <c r="AL9" i="2"/>
  <c r="AX11" i="2"/>
  <c r="AL11" i="2"/>
  <c r="AX13" i="2"/>
  <c r="AL13" i="2"/>
  <c r="AX15" i="2"/>
  <c r="AL15" i="2"/>
  <c r="AX19" i="2"/>
  <c r="AL19" i="2"/>
  <c r="AX24" i="2"/>
  <c r="AL24" i="2"/>
  <c r="AX26" i="2"/>
  <c r="AL26" i="2"/>
  <c r="AX28" i="2"/>
  <c r="AL28" i="2"/>
  <c r="AX30" i="2"/>
  <c r="AL30" i="2"/>
  <c r="AX32" i="2"/>
  <c r="AL32" i="2"/>
  <c r="AX44" i="2"/>
  <c r="AL44" i="2"/>
  <c r="AX48" i="2"/>
  <c r="AL48" i="2"/>
  <c r="AX52" i="2"/>
  <c r="AL52" i="2"/>
  <c r="AX56" i="2"/>
  <c r="AL56" i="2"/>
  <c r="AX58" i="2"/>
  <c r="AL58" i="2"/>
  <c r="BD58" i="2"/>
  <c r="AR58" i="2"/>
  <c r="AX60" i="2"/>
  <c r="AL60" i="2"/>
  <c r="BD60" i="2"/>
  <c r="AR60" i="2"/>
  <c r="AX62" i="2"/>
  <c r="AL62" i="2"/>
  <c r="BD62" i="2"/>
  <c r="AR62" i="2"/>
  <c r="AX64" i="2"/>
  <c r="AL64" i="2"/>
  <c r="BD64" i="2"/>
  <c r="AX66" i="2"/>
  <c r="AL66" i="2"/>
  <c r="BD66" i="2"/>
  <c r="AR66" i="2"/>
  <c r="AX68" i="2"/>
  <c r="AL68" i="2"/>
  <c r="BD68" i="2"/>
  <c r="BD70" i="2"/>
  <c r="AR70" i="2"/>
  <c r="AX70" i="2"/>
  <c r="AL70" i="2"/>
  <c r="BD72" i="2"/>
  <c r="AR72" i="2"/>
  <c r="AX72" i="2"/>
  <c r="AL72" i="2"/>
  <c r="BD74" i="2"/>
  <c r="AR74" i="2"/>
  <c r="AX74" i="2"/>
  <c r="AL74" i="2"/>
  <c r="BD76" i="2"/>
  <c r="AR76" i="2"/>
  <c r="AX76" i="2"/>
  <c r="AL76" i="2"/>
  <c r="BD78" i="2"/>
  <c r="AR78" i="2"/>
  <c r="AX78" i="2"/>
  <c r="AL78" i="2"/>
  <c r="BD80" i="2"/>
  <c r="AR80" i="2"/>
  <c r="AX80" i="2"/>
  <c r="AL80" i="2"/>
  <c r="BD82" i="2"/>
  <c r="AR82" i="2"/>
  <c r="AX82" i="2"/>
  <c r="AL82" i="2"/>
  <c r="BD84" i="2"/>
  <c r="AR84" i="2"/>
  <c r="AX84" i="2"/>
  <c r="AL84" i="2"/>
  <c r="BD86" i="2"/>
  <c r="AR86" i="2"/>
  <c r="AX86" i="2"/>
  <c r="AL86" i="2"/>
  <c r="BD88" i="2"/>
  <c r="AR88" i="2"/>
  <c r="AX88" i="2"/>
  <c r="AL88" i="2"/>
  <c r="BD90" i="2"/>
  <c r="AR90" i="2"/>
  <c r="AX90" i="2"/>
  <c r="AL90" i="2"/>
  <c r="BD91" i="2"/>
  <c r="AR91" i="2"/>
  <c r="AX91" i="2"/>
  <c r="AL91" i="2"/>
  <c r="AA38" i="2"/>
  <c r="AR9" i="2"/>
  <c r="AR13" i="2"/>
  <c r="AR23" i="2"/>
  <c r="AR27" i="2"/>
  <c r="AR31" i="2"/>
  <c r="BD33" i="2"/>
  <c r="AL35" i="2"/>
  <c r="AR38" i="2"/>
  <c r="AX41" i="2"/>
  <c r="AL43" i="2"/>
  <c r="AX47" i="2"/>
  <c r="AX49" i="2"/>
  <c r="BD55" i="2"/>
  <c r="AR65" i="2"/>
  <c r="AA52" i="2"/>
  <c r="AY7" i="2"/>
  <c r="AM7" i="2"/>
  <c r="BE7" i="2"/>
  <c r="AS7" i="2"/>
  <c r="AY9" i="2"/>
  <c r="AM9" i="2"/>
  <c r="BE9" i="2"/>
  <c r="AS9" i="2"/>
  <c r="AY11" i="2"/>
  <c r="AM11" i="2"/>
  <c r="BE11" i="2"/>
  <c r="AS11" i="2"/>
  <c r="AY13" i="2"/>
  <c r="AM13" i="2"/>
  <c r="BE13" i="2"/>
  <c r="AS13" i="2"/>
  <c r="AY15" i="2"/>
  <c r="AM15" i="2"/>
  <c r="BE15" i="2"/>
  <c r="AS15" i="2"/>
  <c r="AY19" i="2"/>
  <c r="AM19" i="2"/>
  <c r="BE19" i="2"/>
  <c r="AS19" i="2"/>
  <c r="AY24" i="2"/>
  <c r="AM24" i="2"/>
  <c r="BE24" i="2"/>
  <c r="AS24" i="2"/>
  <c r="AY26" i="2"/>
  <c r="AM26" i="2"/>
  <c r="BE26" i="2"/>
  <c r="AS26" i="2"/>
  <c r="AY28" i="2"/>
  <c r="AM28" i="2"/>
  <c r="BE28" i="2"/>
  <c r="AS28" i="2"/>
  <c r="AY30" i="2"/>
  <c r="AM30" i="2"/>
  <c r="BE30" i="2"/>
  <c r="AS30" i="2"/>
  <c r="AY32" i="2"/>
  <c r="AM32" i="2"/>
  <c r="BE32" i="2"/>
  <c r="AS32" i="2"/>
  <c r="BE34" i="2"/>
  <c r="AS34" i="2"/>
  <c r="BE36" i="2"/>
  <c r="AS36" i="2"/>
  <c r="AM36" i="2"/>
  <c r="BE38" i="2"/>
  <c r="AS38" i="2"/>
  <c r="AM38" i="2"/>
  <c r="BE40" i="2"/>
  <c r="AS40" i="2"/>
  <c r="AM40" i="2"/>
  <c r="BE42" i="2"/>
  <c r="AS42" i="2"/>
  <c r="AM42" i="2"/>
  <c r="AY44" i="2"/>
  <c r="AM44" i="2"/>
  <c r="BE44" i="2"/>
  <c r="AS44" i="2"/>
  <c r="AY46" i="2"/>
  <c r="AM46" i="2"/>
  <c r="BE46" i="2"/>
  <c r="AS46" i="2"/>
  <c r="AY48" i="2"/>
  <c r="AM48" i="2"/>
  <c r="BE48" i="2"/>
  <c r="AS48" i="2"/>
  <c r="AY50" i="2"/>
  <c r="AM50" i="2"/>
  <c r="BE50" i="2"/>
  <c r="AS50" i="2"/>
  <c r="AY52" i="2"/>
  <c r="AM52" i="2"/>
  <c r="BE52" i="2"/>
  <c r="AS52" i="2"/>
  <c r="AY54" i="2"/>
  <c r="AM54" i="2"/>
  <c r="BE54" i="2"/>
  <c r="AS54" i="2"/>
  <c r="AY56" i="2"/>
  <c r="AM56" i="2"/>
  <c r="BE56" i="2"/>
  <c r="AS56" i="2"/>
  <c r="AY58" i="2"/>
  <c r="AS58" i="2"/>
  <c r="AM58" i="2"/>
  <c r="AS60" i="2"/>
  <c r="AY60" i="2"/>
  <c r="AA62" i="2"/>
  <c r="AY62" i="2"/>
  <c r="AS62" i="2"/>
  <c r="AS64" i="2"/>
  <c r="AY64" i="2"/>
  <c r="BE64" i="2"/>
  <c r="AY66" i="2"/>
  <c r="AS66" i="2"/>
  <c r="BE66" i="2"/>
  <c r="AS68" i="2"/>
  <c r="AY68" i="2"/>
  <c r="BE68" i="2"/>
  <c r="AM68" i="2"/>
  <c r="AM70" i="2"/>
  <c r="BE70" i="2"/>
  <c r="AY70" i="2"/>
  <c r="AS70" i="2"/>
  <c r="AM72" i="2"/>
  <c r="BE72" i="2"/>
  <c r="AY72" i="2"/>
  <c r="AS72" i="2"/>
  <c r="AM74" i="2"/>
  <c r="BE74" i="2"/>
  <c r="AY74" i="2"/>
  <c r="AS74" i="2"/>
  <c r="BE76" i="2"/>
  <c r="AS76" i="2"/>
  <c r="AM76" i="2"/>
  <c r="AY76" i="2"/>
  <c r="AM78" i="2"/>
  <c r="BE78" i="2"/>
  <c r="AS78" i="2"/>
  <c r="BE80" i="2"/>
  <c r="AY80" i="2"/>
  <c r="AS80" i="2"/>
  <c r="AM80" i="2"/>
  <c r="AS82" i="2"/>
  <c r="AM82" i="2"/>
  <c r="BE82" i="2"/>
  <c r="BE84" i="2"/>
  <c r="AY84" i="2"/>
  <c r="AS84" i="2"/>
  <c r="AM84" i="2"/>
  <c r="AS86" i="2"/>
  <c r="AM86" i="2"/>
  <c r="BE86" i="2"/>
  <c r="BE88" i="2"/>
  <c r="AY88" i="2"/>
  <c r="AS88" i="2"/>
  <c r="AM88" i="2"/>
  <c r="AS90" i="2"/>
  <c r="AM90" i="2"/>
  <c r="BE90" i="2"/>
  <c r="AY90" i="2"/>
  <c r="AS91" i="2"/>
  <c r="AM91" i="2"/>
  <c r="BE91" i="2"/>
  <c r="AY91" i="2"/>
  <c r="AA46" i="2"/>
  <c r="BD7" i="2"/>
  <c r="BD11" i="2"/>
  <c r="BD15" i="2"/>
  <c r="BD19" i="2"/>
  <c r="BD29" i="2"/>
  <c r="AR35" i="2"/>
  <c r="AX38" i="2"/>
  <c r="AL40" i="2"/>
  <c r="AX43" i="2"/>
  <c r="AX45" i="2"/>
  <c r="BD51" i="2"/>
  <c r="BE58" i="2"/>
  <c r="AM62" i="2"/>
  <c r="AR69" i="2"/>
  <c r="AA14" i="2"/>
  <c r="AL37" i="2"/>
  <c r="BD47" i="2"/>
  <c r="AR59" i="2"/>
  <c r="AX12" i="2"/>
  <c r="AL12" i="2"/>
  <c r="AX25" i="2"/>
  <c r="AL25" i="2"/>
  <c r="AA8" i="2"/>
  <c r="AA10" i="2"/>
  <c r="AA16" i="2"/>
  <c r="V93" i="2"/>
  <c r="AA70" i="2"/>
  <c r="AR10" i="2"/>
  <c r="AR14" i="2"/>
  <c r="AA31" i="2"/>
  <c r="AA39" i="2"/>
  <c r="AA47" i="2"/>
  <c r="AA55" i="2"/>
  <c r="AA63" i="2"/>
  <c r="AA71" i="2"/>
  <c r="AA79" i="2"/>
  <c r="AA87" i="2"/>
  <c r="AA92" i="2"/>
  <c r="AA78" i="2"/>
  <c r="BD8" i="2"/>
  <c r="BD12" i="2"/>
  <c r="BD16" i="2"/>
  <c r="BD26" i="2"/>
  <c r="BD30" i="2"/>
  <c r="AM34" i="2"/>
  <c r="BD43" i="2"/>
  <c r="AR50" i="2"/>
  <c r="AR52" i="2"/>
  <c r="AX54" i="2"/>
  <c r="BD56" i="2"/>
  <c r="AR63" i="2"/>
  <c r="AA25" i="2"/>
  <c r="AA27" i="2"/>
  <c r="AA29" i="2"/>
  <c r="AA33" i="2"/>
  <c r="AA35" i="2"/>
  <c r="AA37" i="2"/>
  <c r="AA41" i="2"/>
  <c r="AA43" i="2"/>
  <c r="AA45" i="2"/>
  <c r="AA49" i="2"/>
  <c r="AA51" i="2"/>
  <c r="AA53" i="2"/>
  <c r="AA57" i="2"/>
  <c r="AA59" i="2"/>
  <c r="AA61" i="2"/>
  <c r="AA65" i="2"/>
  <c r="AA67" i="2"/>
  <c r="AA69" i="2"/>
  <c r="AA73" i="2"/>
  <c r="AA75" i="2"/>
  <c r="AA77" i="2"/>
  <c r="AA81" i="2"/>
  <c r="AA83" i="2"/>
  <c r="AA85" i="2"/>
  <c r="AA89" i="2"/>
  <c r="AS16" i="2"/>
  <c r="BE16" i="2"/>
  <c r="AS23" i="2"/>
  <c r="AS25" i="2"/>
  <c r="BE25" i="2"/>
  <c r="AS27" i="2"/>
  <c r="BE27" i="2"/>
  <c r="AS29" i="2"/>
  <c r="BE29" i="2"/>
  <c r="AS31" i="2"/>
  <c r="BE31" i="2"/>
  <c r="AS33" i="2"/>
  <c r="Z93" i="2"/>
  <c r="BE35" i="2"/>
  <c r="AS35" i="2"/>
  <c r="BE37" i="2"/>
  <c r="AS37" i="2"/>
  <c r="BE39" i="2"/>
  <c r="AS39" i="2"/>
  <c r="BE41" i="2"/>
  <c r="AS41" i="2"/>
  <c r="AY43" i="2"/>
  <c r="AM43" i="2"/>
  <c r="BE43" i="2"/>
  <c r="AS43" i="2"/>
  <c r="AY45" i="2"/>
  <c r="AM45" i="2"/>
  <c r="BE45" i="2"/>
  <c r="AS45" i="2"/>
  <c r="AY47" i="2"/>
  <c r="AM47" i="2"/>
  <c r="BE47" i="2"/>
  <c r="AS47" i="2"/>
  <c r="AY49" i="2"/>
  <c r="AM49" i="2"/>
  <c r="BE49" i="2"/>
  <c r="AS49" i="2"/>
  <c r="AY51" i="2"/>
  <c r="AM51" i="2"/>
  <c r="BE51" i="2"/>
  <c r="AS51" i="2"/>
  <c r="AY53" i="2"/>
  <c r="AM53" i="2"/>
  <c r="BE53" i="2"/>
  <c r="AS53" i="2"/>
  <c r="AY55" i="2"/>
  <c r="AM55" i="2"/>
  <c r="BE55" i="2"/>
  <c r="AS55" i="2"/>
  <c r="AM57" i="2"/>
  <c r="AY57" i="2"/>
  <c r="AS57" i="2"/>
  <c r="AY59" i="2"/>
  <c r="AS59" i="2"/>
  <c r="BE59" i="2"/>
  <c r="AM59" i="2"/>
  <c r="AY61" i="2"/>
  <c r="AS61" i="2"/>
  <c r="AY63" i="2"/>
  <c r="AS63" i="2"/>
  <c r="BE63" i="2"/>
  <c r="AM63" i="2"/>
  <c r="AY65" i="2"/>
  <c r="AS65" i="2"/>
  <c r="AY67" i="2"/>
  <c r="AS67" i="2"/>
  <c r="BE67" i="2"/>
  <c r="AM67" i="2"/>
  <c r="BE69" i="2"/>
  <c r="AY69" i="2"/>
  <c r="AS69" i="2"/>
  <c r="AM71" i="2"/>
  <c r="BE71" i="2"/>
  <c r="AY71" i="2"/>
  <c r="AS71" i="2"/>
  <c r="AM73" i="2"/>
  <c r="BE73" i="2"/>
  <c r="AY73" i="2"/>
  <c r="BE75" i="2"/>
  <c r="AM75" i="2"/>
  <c r="AM77" i="2"/>
  <c r="BE77" i="2"/>
  <c r="AY77" i="2"/>
  <c r="BE79" i="2"/>
  <c r="AM79" i="2"/>
  <c r="AM81" i="2"/>
  <c r="BE81" i="2"/>
  <c r="AY81" i="2"/>
  <c r="BE83" i="2"/>
  <c r="AY83" i="2"/>
  <c r="AS83" i="2"/>
  <c r="AM83" i="2"/>
  <c r="AM85" i="2"/>
  <c r="BE85" i="2"/>
  <c r="AY85" i="2"/>
  <c r="BE87" i="2"/>
  <c r="AY87" i="2"/>
  <c r="AS87" i="2"/>
  <c r="AM87" i="2"/>
  <c r="AM89" i="2"/>
  <c r="BE89" i="2"/>
  <c r="AY89" i="2"/>
  <c r="BE92" i="2"/>
  <c r="AY92" i="2"/>
  <c r="AS92" i="2"/>
  <c r="AM92" i="2"/>
  <c r="AY33" i="2"/>
  <c r="AM35" i="2"/>
  <c r="AM37" i="2"/>
  <c r="AM39" i="2"/>
  <c r="AM41" i="2"/>
  <c r="AA84" i="2"/>
  <c r="AA91" i="2"/>
  <c r="AM16" i="2"/>
  <c r="AM23" i="2"/>
  <c r="AY23" i="2"/>
  <c r="AM25" i="2"/>
  <c r="AM27" i="2"/>
  <c r="AM29" i="2"/>
  <c r="AM31" i="2"/>
  <c r="AM69" i="2"/>
  <c r="AS85" i="2"/>
  <c r="AA23" i="2"/>
  <c r="AV93" i="2" l="1"/>
  <c r="BB93" i="2"/>
  <c r="AO93" i="2"/>
  <c r="BE93" i="2"/>
  <c r="AU93" i="2"/>
  <c r="BD93" i="2"/>
  <c r="AI93" i="2"/>
  <c r="BA93" i="2"/>
  <c r="AL93" i="2"/>
  <c r="AR93" i="2"/>
  <c r="AX93" i="2"/>
  <c r="AP93" i="2"/>
  <c r="AS93" i="2"/>
  <c r="AY93" i="2"/>
  <c r="AM93" i="2"/>
  <c r="K23" i="2" l="1"/>
  <c r="L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J23" i="2"/>
  <c r="I23" i="2"/>
  <c r="H23" i="2"/>
  <c r="M93" i="2"/>
  <c r="M95" i="2" s="1"/>
  <c r="K7" i="2"/>
  <c r="K19" i="2"/>
  <c r="J19" i="2"/>
  <c r="I19" i="2"/>
  <c r="H19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J7" i="2"/>
  <c r="I7" i="2"/>
  <c r="H7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17" i="2" l="1"/>
  <c r="B8" i="6"/>
  <c r="Z17" i="2"/>
  <c r="W17" i="2"/>
  <c r="Y17" i="2"/>
  <c r="V17" i="2"/>
  <c r="B9" i="6"/>
  <c r="J9" i="6" s="1"/>
  <c r="Y18" i="2"/>
  <c r="Z18" i="2"/>
  <c r="W18" i="2"/>
  <c r="V18" i="2"/>
  <c r="BA18" i="2" s="1"/>
  <c r="J17" i="2"/>
  <c r="H18" i="2"/>
  <c r="I17" i="2"/>
  <c r="I18" i="2"/>
  <c r="J18" i="2"/>
  <c r="K18" i="2"/>
  <c r="L20" i="2"/>
  <c r="L95" i="2" s="1"/>
  <c r="K17" i="2"/>
  <c r="C4" i="29" l="1"/>
  <c r="K4" i="29"/>
  <c r="B35" i="6"/>
  <c r="H20" i="2"/>
  <c r="H93" i="2" s="1"/>
  <c r="AY17" i="2"/>
  <c r="AM17" i="2"/>
  <c r="BE17" i="2"/>
  <c r="Z20" i="2"/>
  <c r="Z95" i="2" s="1"/>
  <c r="I18" i="28" s="1"/>
  <c r="I32" i="28" s="1"/>
  <c r="AS17" i="2"/>
  <c r="J8" i="6"/>
  <c r="BD18" i="2"/>
  <c r="AX18" i="2"/>
  <c r="AL18" i="2"/>
  <c r="AR18" i="2"/>
  <c r="BD17" i="2"/>
  <c r="Y20" i="2"/>
  <c r="Y95" i="2" s="1"/>
  <c r="H18" i="28" s="1"/>
  <c r="H32" i="28" s="1"/>
  <c r="AR17" i="2"/>
  <c r="AX17" i="2"/>
  <c r="AL17" i="2"/>
  <c r="AY18" i="2"/>
  <c r="AS18" i="2"/>
  <c r="BE18" i="2"/>
  <c r="AM18" i="2"/>
  <c r="AI18" i="2"/>
  <c r="BA17" i="2"/>
  <c r="BA20" i="2" s="1"/>
  <c r="BA95" i="2" s="1"/>
  <c r="AI17" i="2"/>
  <c r="AV18" i="2"/>
  <c r="BB18" i="2"/>
  <c r="AV17" i="2"/>
  <c r="BB17" i="2"/>
  <c r="AO18" i="2"/>
  <c r="AU18" i="2"/>
  <c r="AO17" i="2"/>
  <c r="AU17" i="2"/>
  <c r="J20" i="2"/>
  <c r="J93" i="2" s="1"/>
  <c r="AP18" i="2"/>
  <c r="AJ18" i="2"/>
  <c r="AP17" i="2"/>
  <c r="AJ17" i="2"/>
  <c r="W20" i="2"/>
  <c r="W95" i="2" s="1"/>
  <c r="F18" i="28" s="1"/>
  <c r="F32" i="28" s="1"/>
  <c r="I20" i="2"/>
  <c r="I93" i="2" s="1"/>
  <c r="AA18" i="2"/>
  <c r="AA17" i="2"/>
  <c r="V20" i="2"/>
  <c r="V95" i="2" s="1"/>
  <c r="E18" i="28" s="1"/>
  <c r="Q18" i="28" s="1"/>
  <c r="K20" i="2"/>
  <c r="K93" i="2" s="1"/>
  <c r="J35" i="6" l="1"/>
  <c r="K27" i="6" s="1"/>
  <c r="K31" i="29"/>
  <c r="K26" i="29"/>
  <c r="K52" i="29" s="1"/>
  <c r="C31" i="29"/>
  <c r="C26" i="29"/>
  <c r="C52" i="29" s="1"/>
  <c r="E32" i="28"/>
  <c r="P32" i="28" s="1"/>
  <c r="P40" i="28" s="1"/>
  <c r="Q26" i="28"/>
  <c r="F26" i="28"/>
  <c r="F41" i="28" s="1"/>
  <c r="F40" i="28"/>
  <c r="E26" i="28"/>
  <c r="E41" i="28" s="1"/>
  <c r="H26" i="28"/>
  <c r="H41" i="28" s="1"/>
  <c r="H40" i="28"/>
  <c r="I26" i="28"/>
  <c r="I41" i="28" s="1"/>
  <c r="I40" i="28"/>
  <c r="AR20" i="2"/>
  <c r="AR95" i="2" s="1"/>
  <c r="AR96" i="2" s="1"/>
  <c r="AR97" i="2" s="1"/>
  <c r="AS20" i="2"/>
  <c r="AS95" i="2" s="1"/>
  <c r="AS96" i="2" s="1"/>
  <c r="AS97" i="2" s="1"/>
  <c r="K8" i="6"/>
  <c r="AV20" i="2"/>
  <c r="AV95" i="2" s="1"/>
  <c r="AV96" i="2" s="1"/>
  <c r="AV97" i="2" s="1"/>
  <c r="AX20" i="2"/>
  <c r="AX95" i="2" s="1"/>
  <c r="AX96" i="2" s="1"/>
  <c r="AX97" i="2" s="1"/>
  <c r="BD20" i="2"/>
  <c r="BD95" i="2" s="1"/>
  <c r="BD96" i="2" s="1"/>
  <c r="BD97" i="2" s="1"/>
  <c r="BE20" i="2"/>
  <c r="BE95" i="2" s="1"/>
  <c r="BE96" i="2" s="1"/>
  <c r="BE97" i="2" s="1"/>
  <c r="BB20" i="2"/>
  <c r="BB95" i="2" s="1"/>
  <c r="AM20" i="2"/>
  <c r="AM95" i="2" s="1"/>
  <c r="AM96" i="2" s="1"/>
  <c r="AM97" i="2" s="1"/>
  <c r="AY20" i="2"/>
  <c r="AY95" i="2" s="1"/>
  <c r="AY96" i="2" s="1"/>
  <c r="AY97" i="2" s="1"/>
  <c r="AL20" i="2"/>
  <c r="AL95" i="2" s="1"/>
  <c r="AL96" i="2" s="1"/>
  <c r="AL97" i="2" s="1"/>
  <c r="AJ20" i="2"/>
  <c r="AJ95" i="2" s="1"/>
  <c r="AJ96" i="2" s="1"/>
  <c r="AJ97" i="2" s="1"/>
  <c r="AO20" i="2"/>
  <c r="AO95" i="2" s="1"/>
  <c r="BA96" i="2"/>
  <c r="BA97" i="2" s="1"/>
  <c r="AP20" i="2"/>
  <c r="AP95" i="2" s="1"/>
  <c r="AP96" i="2" s="1"/>
  <c r="AP97" i="2" s="1"/>
  <c r="AU20" i="2"/>
  <c r="AU95" i="2" s="1"/>
  <c r="AI20" i="2"/>
  <c r="AI95" i="2" s="1"/>
  <c r="I27" i="28" l="1"/>
  <c r="H27" i="28"/>
  <c r="E27" i="28"/>
  <c r="N27" i="28"/>
  <c r="L27" i="28"/>
  <c r="K27" i="28"/>
  <c r="G27" i="28"/>
  <c r="F27" i="28"/>
  <c r="L3" i="29"/>
  <c r="X17" i="29"/>
  <c r="X9" i="29"/>
  <c r="X5" i="29"/>
  <c r="X21" i="29"/>
  <c r="X13" i="29"/>
  <c r="X6" i="29"/>
  <c r="X16" i="29"/>
  <c r="X3" i="29"/>
  <c r="X19" i="29"/>
  <c r="X22" i="29"/>
  <c r="X18" i="29"/>
  <c r="X7" i="29"/>
  <c r="X4" i="29"/>
  <c r="X20" i="29"/>
  <c r="X10" i="29"/>
  <c r="X8" i="29"/>
  <c r="X23" i="29"/>
  <c r="X11" i="29"/>
  <c r="X15" i="29"/>
  <c r="X12" i="29"/>
  <c r="X14" i="29"/>
  <c r="X24" i="29"/>
  <c r="L18" i="29"/>
  <c r="L45" i="29" s="1"/>
  <c r="L23" i="29"/>
  <c r="L14" i="29"/>
  <c r="L20" i="29"/>
  <c r="L5" i="29"/>
  <c r="L32" i="29" s="1"/>
  <c r="L8" i="29"/>
  <c r="L35" i="29" s="1"/>
  <c r="L19" i="29"/>
  <c r="L46" i="29" s="1"/>
  <c r="L24" i="29"/>
  <c r="L51" i="29" s="1"/>
  <c r="L16" i="29"/>
  <c r="L43" i="29" s="1"/>
  <c r="L9" i="29"/>
  <c r="L6" i="29"/>
  <c r="L7" i="29"/>
  <c r="L12" i="29"/>
  <c r="L39" i="29" s="1"/>
  <c r="L17" i="29"/>
  <c r="L22" i="29"/>
  <c r="L21" i="29"/>
  <c r="L48" i="29" s="1"/>
  <c r="L11" i="29"/>
  <c r="L38" i="29" s="1"/>
  <c r="L15" i="29"/>
  <c r="L10" i="29"/>
  <c r="L13" i="29"/>
  <c r="L4" i="29"/>
  <c r="L31" i="29" s="1"/>
  <c r="E40" i="28"/>
  <c r="D11" i="21"/>
  <c r="D8" i="21"/>
  <c r="D10" i="21"/>
  <c r="BB96" i="2"/>
  <c r="BB97" i="2" s="1"/>
  <c r="K29" i="6"/>
  <c r="K19" i="6"/>
  <c r="K24" i="6"/>
  <c r="K32" i="6"/>
  <c r="K17" i="6"/>
  <c r="K11" i="6"/>
  <c r="K6" i="6"/>
  <c r="K20" i="6"/>
  <c r="K33" i="6"/>
  <c r="K15" i="6"/>
  <c r="K26" i="6"/>
  <c r="K30" i="6"/>
  <c r="K23" i="6"/>
  <c r="K14" i="6"/>
  <c r="K25" i="6"/>
  <c r="K31" i="6"/>
  <c r="K28" i="6"/>
  <c r="K16" i="6"/>
  <c r="K7" i="6"/>
  <c r="K21" i="6"/>
  <c r="K10" i="6"/>
  <c r="K12" i="6"/>
  <c r="K9" i="6"/>
  <c r="AI96" i="2"/>
  <c r="AI97" i="2" s="1"/>
  <c r="AO96" i="2"/>
  <c r="AO97" i="2" s="1"/>
  <c r="D9" i="21"/>
  <c r="AU96" i="2"/>
  <c r="AU97" i="2" s="1"/>
  <c r="H95" i="2"/>
  <c r="I95" i="2"/>
  <c r="J95" i="2"/>
  <c r="K95" i="2"/>
  <c r="L47" i="29" l="1"/>
  <c r="L49" i="29"/>
  <c r="L33" i="29"/>
  <c r="L44" i="29"/>
  <c r="D41" i="21"/>
  <c r="D19" i="21"/>
  <c r="D51" i="21" s="1"/>
  <c r="L40" i="29"/>
  <c r="L41" i="29"/>
  <c r="L37" i="29"/>
  <c r="L42" i="29"/>
  <c r="L36" i="29"/>
  <c r="L50" i="29"/>
  <c r="L30" i="29"/>
  <c r="L26" i="29"/>
  <c r="L34" i="29"/>
  <c r="X26" i="29"/>
  <c r="L10" i="21"/>
  <c r="D43" i="21"/>
  <c r="L9" i="21"/>
  <c r="D42" i="21"/>
  <c r="L11" i="21"/>
  <c r="L44" i="21" s="1"/>
  <c r="D44" i="21"/>
  <c r="K35" i="6"/>
  <c r="L8" i="21"/>
  <c r="L51" i="21" l="1"/>
  <c r="M44" i="21"/>
  <c r="L41" i="21"/>
  <c r="M41" i="21" s="1"/>
  <c r="L42" i="21"/>
  <c r="M42" i="21" s="1"/>
  <c r="L43" i="21"/>
  <c r="M43" i="21" s="1"/>
  <c r="L19" i="21"/>
  <c r="J36" i="6" s="1"/>
  <c r="M31" i="21" l="1"/>
  <c r="M27" i="21"/>
  <c r="M29" i="21"/>
  <c r="M32" i="21"/>
  <c r="M30" i="21"/>
  <c r="M25" i="21"/>
  <c r="M33" i="21"/>
  <c r="M34" i="21"/>
  <c r="M28" i="21"/>
  <c r="M26" i="21"/>
  <c r="M14" i="21"/>
  <c r="M13" i="21"/>
  <c r="M16" i="21"/>
  <c r="M17" i="21"/>
  <c r="M12" i="21"/>
  <c r="M10" i="21"/>
  <c r="M15" i="21"/>
  <c r="M9" i="21"/>
  <c r="M8" i="21"/>
  <c r="M1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Madeline Atkins</author>
  </authors>
  <commentList>
    <comment ref="AG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Madeline Atkins:</t>
        </r>
        <r>
          <rPr>
            <sz val="9"/>
            <color indexed="81"/>
            <rFont val="Tahoma"/>
            <family val="2"/>
          </rPr>
          <t xml:space="preserve">
AWT power is charged seperately to SCWD. Remaining liquids electricity and natural gas is split between liqids and common allocations</t>
        </r>
      </text>
    </comment>
    <comment ref="AG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Madeline Atkins:</t>
        </r>
        <r>
          <rPr>
            <sz val="9"/>
            <color indexed="81"/>
            <rFont val="Tahoma"/>
            <family val="2"/>
          </rPr>
          <t xml:space="preserve">
AWT power is charged seperately to SCWD. Remaining liquids electricity and natural gas is split between liqids and common allocations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Madeline Atkins</author>
  </authors>
  <commentList>
    <comment ref="Q3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Madeline Atkins:</t>
        </r>
        <r>
          <rPr>
            <sz val="9"/>
            <color indexed="81"/>
            <rFont val="Tahoma"/>
            <family val="2"/>
          </rPr>
          <t xml:space="preserve">
Original allocation to lab services = 50% liquids and 50% AWT</t>
        </r>
      </text>
    </comment>
    <comment ref="Q59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Madeline Atkins:</t>
        </r>
        <r>
          <rPr>
            <sz val="9"/>
            <color indexed="81"/>
            <rFont val="Tahoma"/>
            <family val="2"/>
          </rPr>
          <t xml:space="preserve">
Original allocation for lab services = 75% liquids, 25% AWT
</t>
        </r>
      </text>
    </comment>
  </commentList>
</comments>
</file>

<file path=xl/sharedStrings.xml><?xml version="1.0" encoding="utf-8"?>
<sst xmlns="http://schemas.openxmlformats.org/spreadsheetml/2006/main" count="4866" uniqueCount="736">
  <si>
    <t>South Orange County Wastewater Authority</t>
  </si>
  <si>
    <t>PC2 - Latham WWTP</t>
  </si>
  <si>
    <t>Cost Allocation (%)</t>
  </si>
  <si>
    <t>Liquids</t>
  </si>
  <si>
    <t>Solids</t>
  </si>
  <si>
    <t>C/Liquids</t>
  </si>
  <si>
    <t>C/Solids</t>
  </si>
  <si>
    <t>Common - Single Area</t>
  </si>
  <si>
    <t>Solids - Single Area</t>
  </si>
  <si>
    <t>Liquids - Single Area</t>
  </si>
  <si>
    <t>AWT - Single Area</t>
  </si>
  <si>
    <t>Electricity</t>
  </si>
  <si>
    <t>Natural Gas</t>
  </si>
  <si>
    <t>Potable &amp; Reclaimed Water</t>
  </si>
  <si>
    <t>Chlorine/Sodium Hypochlorite</t>
  </si>
  <si>
    <t>Ferric Chloride</t>
  </si>
  <si>
    <t>Odor Control Chemicals</t>
  </si>
  <si>
    <t>Laboratory</t>
  </si>
  <si>
    <t>Grit Hauling - 21A</t>
  </si>
  <si>
    <t>Engineering - Misc.</t>
  </si>
  <si>
    <t>Management Support Services</t>
  </si>
  <si>
    <t>Legal Fees</t>
  </si>
  <si>
    <t>Petroleum Products</t>
  </si>
  <si>
    <t>Port Cleaning</t>
  </si>
  <si>
    <t>Offshore Monitoring - 20A</t>
  </si>
  <si>
    <t>Offshore Biochemistry - 20B</t>
  </si>
  <si>
    <t>Effluent Chemistry - 20C</t>
  </si>
  <si>
    <t>Vehicle Pay</t>
  </si>
  <si>
    <t>Group Insurance Waiver</t>
  </si>
  <si>
    <t>Medicare Tax Payments for Employees</t>
  </si>
  <si>
    <t>Monthly Car Allowance</t>
  </si>
  <si>
    <t>Actual Use - Bills Coded</t>
  </si>
  <si>
    <t>AWT</t>
  </si>
  <si>
    <t>PC2</t>
  </si>
  <si>
    <t>PC5</t>
  </si>
  <si>
    <t>2018 O&amp;M Budget Allocation Summary</t>
  </si>
  <si>
    <t xml:space="preserve">PC </t>
  </si>
  <si>
    <t>Account Code</t>
  </si>
  <si>
    <t>Dept</t>
  </si>
  <si>
    <t>WW</t>
  </si>
  <si>
    <t>MA</t>
  </si>
  <si>
    <t>Account #</t>
  </si>
  <si>
    <t>Description</t>
  </si>
  <si>
    <t>2018 Total</t>
  </si>
  <si>
    <t>Salary &amp; Fringe</t>
  </si>
  <si>
    <t>02</t>
  </si>
  <si>
    <t>5000</t>
  </si>
  <si>
    <t>01</t>
  </si>
  <si>
    <t>00</t>
  </si>
  <si>
    <t>Regular Salaries-O&amp;M</t>
  </si>
  <si>
    <t>5001</t>
  </si>
  <si>
    <t>Overtime Salaries-O&amp;M</t>
  </si>
  <si>
    <t>5302</t>
  </si>
  <si>
    <t>Performance Based Merit Pay</t>
  </si>
  <si>
    <t>5306</t>
  </si>
  <si>
    <t>Scheduled Holiday Work</t>
  </si>
  <si>
    <t>5307</t>
  </si>
  <si>
    <t>Weekend Shift Pay</t>
  </si>
  <si>
    <t>5315</t>
  </si>
  <si>
    <t>Comp Time - O&amp;M</t>
  </si>
  <si>
    <t>5401</t>
  </si>
  <si>
    <t>Fringe Benefits IN to PC's &amp; Depts.</t>
  </si>
  <si>
    <t>5700</t>
  </si>
  <si>
    <t>Standby Pay</t>
  </si>
  <si>
    <t>Total Payroll Costs</t>
  </si>
  <si>
    <t>Other Expenses</t>
  </si>
  <si>
    <t>5002</t>
  </si>
  <si>
    <t>5003</t>
  </si>
  <si>
    <t>5004</t>
  </si>
  <si>
    <t>Water</t>
  </si>
  <si>
    <t>5006</t>
  </si>
  <si>
    <t>5007</t>
  </si>
  <si>
    <t>Polymer Products</t>
  </si>
  <si>
    <t>5008</t>
  </si>
  <si>
    <t>5009</t>
  </si>
  <si>
    <t>5010</t>
  </si>
  <si>
    <t>Other Chemicals - Misc.</t>
  </si>
  <si>
    <t>5011</t>
  </si>
  <si>
    <t>Laboratory Services</t>
  </si>
  <si>
    <t>5012</t>
  </si>
  <si>
    <t>5013</t>
  </si>
  <si>
    <t>Landscaping</t>
  </si>
  <si>
    <t>5014</t>
  </si>
  <si>
    <t>5015</t>
  </si>
  <si>
    <t>5017</t>
  </si>
  <si>
    <t>03</t>
  </si>
  <si>
    <t>5019</t>
  </si>
  <si>
    <t>Contract Services Misc. - 29</t>
  </si>
  <si>
    <t>5021</t>
  </si>
  <si>
    <t>Small Vehicle Expense - 31A</t>
  </si>
  <si>
    <t>5022</t>
  </si>
  <si>
    <t>Miscellaneous Expense</t>
  </si>
  <si>
    <t>5023</t>
  </si>
  <si>
    <t>Office Supplies - All</t>
  </si>
  <si>
    <t>5024</t>
  </si>
  <si>
    <t>5025</t>
  </si>
  <si>
    <t>Uniforms</t>
  </si>
  <si>
    <t>5026</t>
  </si>
  <si>
    <t>Small Vehicle Fuel - 37A</t>
  </si>
  <si>
    <t>5027</t>
  </si>
  <si>
    <t>Insurance - Property/Liability</t>
  </si>
  <si>
    <t>5028</t>
  </si>
  <si>
    <t>Small Tools &amp; Supplies</t>
  </si>
  <si>
    <t>5030</t>
  </si>
  <si>
    <t>Trash Disposal</t>
  </si>
  <si>
    <t>5031</t>
  </si>
  <si>
    <t>Safety Supplies</t>
  </si>
  <si>
    <t>5032</t>
  </si>
  <si>
    <t>Equipment Rental</t>
  </si>
  <si>
    <t>5033</t>
  </si>
  <si>
    <t>Recruitment</t>
  </si>
  <si>
    <t>5034</t>
  </si>
  <si>
    <t>Travel Expense/Tech. Conferences</t>
  </si>
  <si>
    <t>5035</t>
  </si>
  <si>
    <t>Training Expense</t>
  </si>
  <si>
    <t>5036</t>
  </si>
  <si>
    <t>Laboratory Supplies</t>
  </si>
  <si>
    <t>5037</t>
  </si>
  <si>
    <t>Office Equipment</t>
  </si>
  <si>
    <t>5038</t>
  </si>
  <si>
    <t>Permits</t>
  </si>
  <si>
    <t>5039</t>
  </si>
  <si>
    <t>Membership Dues/Fees</t>
  </si>
  <si>
    <t>5049</t>
  </si>
  <si>
    <t>Biosolids Disposal - 21B</t>
  </si>
  <si>
    <t>5050</t>
  </si>
  <si>
    <t>Contract Services Generators - 29A</t>
  </si>
  <si>
    <t>5052</t>
  </si>
  <si>
    <t>Janitorial Services</t>
  </si>
  <si>
    <t>5053</t>
  </si>
  <si>
    <t>Contract Serv - Digester Cleaning- 29E</t>
  </si>
  <si>
    <t>5054</t>
  </si>
  <si>
    <t>Diesel Truck Maint - 31B</t>
  </si>
  <si>
    <t>5055</t>
  </si>
  <si>
    <t>Diesel Truck Fuel - 37B</t>
  </si>
  <si>
    <t>5056</t>
  </si>
  <si>
    <t>Maintenance Equip. &amp; Facilities (Solids) 41-A</t>
  </si>
  <si>
    <t>5057</t>
  </si>
  <si>
    <t>Maintenance Equip. &amp; Facilities (Liquids) 41-B</t>
  </si>
  <si>
    <t>5058</t>
  </si>
  <si>
    <t>Maintenance Equip. &amp; Facilities (Common) 41-C</t>
  </si>
  <si>
    <t>5059</t>
  </si>
  <si>
    <t>Maintenance Equip. &amp; Facilities (Co-Gen) 41-D</t>
  </si>
  <si>
    <t>5061</t>
  </si>
  <si>
    <t>Mileage</t>
  </si>
  <si>
    <t>5076</t>
  </si>
  <si>
    <t>SCADA Infrastructure</t>
  </si>
  <si>
    <t>5077</t>
  </si>
  <si>
    <t>IT Direct</t>
  </si>
  <si>
    <t>5114</t>
  </si>
  <si>
    <t>Non-Capital Engineering</t>
  </si>
  <si>
    <t>5301</t>
  </si>
  <si>
    <t>5303</t>
  </si>
  <si>
    <t>5305</t>
  </si>
  <si>
    <t>5309</t>
  </si>
  <si>
    <t>Operating Leases</t>
  </si>
  <si>
    <t>5705</t>
  </si>
  <si>
    <t>5802</t>
  </si>
  <si>
    <t>6500</t>
  </si>
  <si>
    <t>IT Allocations in to PC's &amp; Depts.</t>
  </si>
  <si>
    <t>Total Other Expenses</t>
  </si>
  <si>
    <t>Total All Expenses</t>
  </si>
  <si>
    <t>CSJC</t>
  </si>
  <si>
    <t>MNWD</t>
  </si>
  <si>
    <t>SCWD</t>
  </si>
  <si>
    <t>SMWD</t>
  </si>
  <si>
    <t>City of San Juan Capistrano</t>
  </si>
  <si>
    <t>Moulton Niguel Water District</t>
  </si>
  <si>
    <t>South Coast Water District</t>
  </si>
  <si>
    <t>Santa Margarita Water District</t>
  </si>
  <si>
    <t>El Toro Water District</t>
  </si>
  <si>
    <t>ETWD</t>
  </si>
  <si>
    <t>Irvine Ranch Water District</t>
  </si>
  <si>
    <t>IRWD</t>
  </si>
  <si>
    <t>City of San Clemente</t>
  </si>
  <si>
    <t>CSC</t>
  </si>
  <si>
    <t>Trabuco Canyon Water District</t>
  </si>
  <si>
    <t>TCWD</t>
  </si>
  <si>
    <t>EBSD</t>
  </si>
  <si>
    <t>Emerald Bay Service District</t>
  </si>
  <si>
    <t>City of Laguna Beach</t>
  </si>
  <si>
    <t>CLB</t>
  </si>
  <si>
    <t>Member Agency</t>
  </si>
  <si>
    <t>Abbrev.</t>
  </si>
  <si>
    <t>Cost Allocation ($)</t>
  </si>
  <si>
    <t>Total Check</t>
  </si>
  <si>
    <t>Member Agency % Shares</t>
  </si>
  <si>
    <t>Total</t>
  </si>
  <si>
    <t>05</t>
  </si>
  <si>
    <t>11</t>
  </si>
  <si>
    <t>05-5000-01-11-00</t>
  </si>
  <si>
    <t>05-5000-02-00-00</t>
  </si>
  <si>
    <t>05-5001-01-11-00</t>
  </si>
  <si>
    <t>05-5001-02-00-00</t>
  </si>
  <si>
    <t>05-5002-01-00-00</t>
  </si>
  <si>
    <t>05-5002-02-00-00</t>
  </si>
  <si>
    <t>05-5003-01-00-00</t>
  </si>
  <si>
    <t>05-5003-02-00-00</t>
  </si>
  <si>
    <t>05-5014-01-00-00</t>
  </si>
  <si>
    <t>05-5014-02-00-00</t>
  </si>
  <si>
    <t>05-5015-02-00-00</t>
  </si>
  <si>
    <t>05-5017-01-00-00</t>
  </si>
  <si>
    <t>05-5017-02-00-00</t>
  </si>
  <si>
    <t>05-5022-02-00-00</t>
  </si>
  <si>
    <t>Small Vehicle Fuel</t>
  </si>
  <si>
    <t>05-5026-01-00-00</t>
  </si>
  <si>
    <t>05-5026-02-00-00</t>
  </si>
  <si>
    <t>Insurance/Property &amp; Liability</t>
  </si>
  <si>
    <t>05-5027-01-00-00</t>
  </si>
  <si>
    <t>05-5027-02-00-00</t>
  </si>
  <si>
    <t>05-5031-02-00-00</t>
  </si>
  <si>
    <t>05-5034-02-00-00</t>
  </si>
  <si>
    <t>Training</t>
  </si>
  <si>
    <t>05-5035-02-00-00</t>
  </si>
  <si>
    <t>05-5036-02-00-00</t>
  </si>
  <si>
    <t>05-5038-02-00-00</t>
  </si>
  <si>
    <t>5044</t>
  </si>
  <si>
    <t>05-5044-02-00-00</t>
  </si>
  <si>
    <t>5045</t>
  </si>
  <si>
    <t>05-5045-02-00-00</t>
  </si>
  <si>
    <t>5046</t>
  </si>
  <si>
    <t>05-5046-02-00-00</t>
  </si>
  <si>
    <t xml:space="preserve">Maintenance Equip &amp; Facilities (Common) </t>
  </si>
  <si>
    <t>05-5058-01-00-00</t>
  </si>
  <si>
    <t>5067</t>
  </si>
  <si>
    <t>05-5067-02-00-00</t>
  </si>
  <si>
    <t>5069</t>
  </si>
  <si>
    <t>Misc-Capital-Dilution &amp; Metering Study</t>
  </si>
  <si>
    <t>05-5069-02-00-00</t>
  </si>
  <si>
    <t>5101</t>
  </si>
  <si>
    <t>Employee Recognition</t>
  </si>
  <si>
    <t>05-5101-02-00-00</t>
  </si>
  <si>
    <t>05-5301-02-00-00</t>
  </si>
  <si>
    <t>Medicare Tax Payments to Employees</t>
  </si>
  <si>
    <t>05-5305-02-00-00</t>
  </si>
  <si>
    <t>05-5306-01-00-00</t>
  </si>
  <si>
    <t>05-5306-02-00-00</t>
  </si>
  <si>
    <t>05-5307-02-11-00</t>
  </si>
  <si>
    <t>05-5401-01-11-00</t>
  </si>
  <si>
    <t>05-5401-02-00-00</t>
  </si>
  <si>
    <t>05-5705-02-00-00</t>
  </si>
  <si>
    <t>05-6500-01-00-00</t>
  </si>
  <si>
    <t>05-6500-02-00-00</t>
  </si>
  <si>
    <t>15</t>
  </si>
  <si>
    <t>Maintenance Equip. &amp; Facilities(Common)</t>
  </si>
  <si>
    <t>12</t>
  </si>
  <si>
    <t>17</t>
  </si>
  <si>
    <t>24</t>
  </si>
  <si>
    <t>Member Agency Shares</t>
  </si>
  <si>
    <t>Latham WWTP</t>
  </si>
  <si>
    <t>San Juan Creek Ocean Outfall</t>
  </si>
  <si>
    <t>PC8</t>
  </si>
  <si>
    <t>PC12</t>
  </si>
  <si>
    <t>PC15</t>
  </si>
  <si>
    <t>PC17</t>
  </si>
  <si>
    <t>PC21</t>
  </si>
  <si>
    <t>PC24</t>
  </si>
  <si>
    <t>Coastal WWTP</t>
  </si>
  <si>
    <t>Effluent Transmission Main</t>
  </si>
  <si>
    <t>Aliso Creek Ocean Outfall</t>
  </si>
  <si>
    <t>Pre-Treatment</t>
  </si>
  <si>
    <t>PC5 - San Juan Creek Ocean Outfall</t>
  </si>
  <si>
    <t>Timecard</t>
  </si>
  <si>
    <t>Insurance</t>
  </si>
  <si>
    <t>08</t>
  </si>
  <si>
    <t>5016</t>
  </si>
  <si>
    <t>Audit - Environmental</t>
  </si>
  <si>
    <t>5018</t>
  </si>
  <si>
    <t>Public Notices/ Public Relations</t>
  </si>
  <si>
    <t>Safety Program &amp; Supplies</t>
  </si>
  <si>
    <t>Permits and Fines</t>
  </si>
  <si>
    <t>Memberships</t>
  </si>
  <si>
    <t>IT Allocation</t>
  </si>
  <si>
    <t>21</t>
  </si>
  <si>
    <t>08-5000-02-00-00</t>
  </si>
  <si>
    <t>08-5001-02-00-00</t>
  </si>
  <si>
    <t>08-5011-02-00-00</t>
  </si>
  <si>
    <t>08-5015-02-00-00</t>
  </si>
  <si>
    <t>08-5016-02-00-00</t>
  </si>
  <si>
    <t>08-5017-02-00-00</t>
  </si>
  <si>
    <t>08-5018-02-00-00</t>
  </si>
  <si>
    <t>08-5021-02-00-00</t>
  </si>
  <si>
    <t>08-5022-02-00-00</t>
  </si>
  <si>
    <t>08-5026-02-00-00</t>
  </si>
  <si>
    <t>08-5027-02-00-00</t>
  </si>
  <si>
    <t>08-5028-02-00-00</t>
  </si>
  <si>
    <t>08-5031-02-00-00</t>
  </si>
  <si>
    <t>08-5034-02-00-00</t>
  </si>
  <si>
    <t>08-5035-02-00-00</t>
  </si>
  <si>
    <t>08-5038-02-00-00</t>
  </si>
  <si>
    <t>08-5039-02-00-00</t>
  </si>
  <si>
    <t>08-5306-02-00-00</t>
  </si>
  <si>
    <t>08-5401-02-00-00</t>
  </si>
  <si>
    <t>08-6500-02-08-00</t>
  </si>
  <si>
    <t>PC8 - Pre-Treatment</t>
  </si>
  <si>
    <t>Other Chemicals - Misc</t>
  </si>
  <si>
    <t>5047</t>
  </si>
  <si>
    <t>Access Road Expenses</t>
  </si>
  <si>
    <t>5048</t>
  </si>
  <si>
    <t>Storm Damage</t>
  </si>
  <si>
    <t>Diesel Truck Maint Fuel</t>
  </si>
  <si>
    <t>5060</t>
  </si>
  <si>
    <t>Maintenance Equip. &amp; Facilities (AWT) 41-E</t>
  </si>
  <si>
    <t>Diesel Truck Fuel</t>
  </si>
  <si>
    <t>PC15 - Coastal WWTP</t>
  </si>
  <si>
    <t>15-5000-01-00-00</t>
  </si>
  <si>
    <t>15-5000-02-00-00</t>
  </si>
  <si>
    <t>15-5001-01-00-00</t>
  </si>
  <si>
    <t>15-5001-02-00-00</t>
  </si>
  <si>
    <t>15-5002-01-00-00</t>
  </si>
  <si>
    <t>15-5003-01-00-00</t>
  </si>
  <si>
    <t>15-5004-01-00-00</t>
  </si>
  <si>
    <t>15-5006-01-00-00</t>
  </si>
  <si>
    <t>15-5007-01-00-00</t>
  </si>
  <si>
    <t>15-5008-01-00-00</t>
  </si>
  <si>
    <t>15-5009-01-00-00</t>
  </si>
  <si>
    <t>15-5010-01-00-00</t>
  </si>
  <si>
    <t>15-5011-02-00-00</t>
  </si>
  <si>
    <t>15-5012-01-00-00</t>
  </si>
  <si>
    <t>15-5013-01-00-00</t>
  </si>
  <si>
    <t>15-5014-01-00-00</t>
  </si>
  <si>
    <t>15-5014-02-00-00</t>
  </si>
  <si>
    <t>15-5015-01-00-00</t>
  </si>
  <si>
    <t>15-5015-02-00-00</t>
  </si>
  <si>
    <t>15-5017-01-00-00</t>
  </si>
  <si>
    <t>15-5019-01-00-00</t>
  </si>
  <si>
    <t>15-5021-01-00-00</t>
  </si>
  <si>
    <t>15-5021-02-00-00</t>
  </si>
  <si>
    <t>15-5022-01-00-00</t>
  </si>
  <si>
    <t>15-5023-01-00-00</t>
  </si>
  <si>
    <t>15-5024-01-00-00</t>
  </si>
  <si>
    <t>15-5025-01-00-00</t>
  </si>
  <si>
    <t>15-5026-01-00-00</t>
  </si>
  <si>
    <t>15-5027-01-00-00</t>
  </si>
  <si>
    <t>15-5027-02-00-00</t>
  </si>
  <si>
    <t>15-5028-01-00-00</t>
  </si>
  <si>
    <t>15-5030-01-00-00</t>
  </si>
  <si>
    <t>15-5031-01-00-00</t>
  </si>
  <si>
    <t>15-5031-02-00-00</t>
  </si>
  <si>
    <t>15-5032-01-00-00</t>
  </si>
  <si>
    <t>15-5033-01-00-00</t>
  </si>
  <si>
    <t>15-5034-01-00-00</t>
  </si>
  <si>
    <t>15-5034-02-00-00</t>
  </si>
  <si>
    <t>15-5035-01-00-00</t>
  </si>
  <si>
    <t>15-5035-02-00-00</t>
  </si>
  <si>
    <t>15-5036-02-00-00</t>
  </si>
  <si>
    <t>15-5037-01-00-00</t>
  </si>
  <si>
    <t>15-5038-01-00-00</t>
  </si>
  <si>
    <t>15-5038-02-00-00</t>
  </si>
  <si>
    <t>15-5039-01-00-00</t>
  </si>
  <si>
    <t>15-5039-02-00-00</t>
  </si>
  <si>
    <t>15-5047-01-00-00</t>
  </si>
  <si>
    <t>15-5048-01-00-00</t>
  </si>
  <si>
    <t>15-5049-01-00-00</t>
  </si>
  <si>
    <t>15-5050-01-00-00</t>
  </si>
  <si>
    <t>15-5052-01-00-00</t>
  </si>
  <si>
    <t>15-5054-01-00-00</t>
  </si>
  <si>
    <t>15-5055-01-00-00</t>
  </si>
  <si>
    <t>15-5057-01-00-00</t>
  </si>
  <si>
    <t>15-5058-01-00-00</t>
  </si>
  <si>
    <t>15-5060-01-00-00</t>
  </si>
  <si>
    <t>15-5061-01-00-00</t>
  </si>
  <si>
    <t>15-5076-01-00-00</t>
  </si>
  <si>
    <t>15-5077-01-00-00</t>
  </si>
  <si>
    <t>15-5301-01-00-00</t>
  </si>
  <si>
    <t>15-5302-01-00-00</t>
  </si>
  <si>
    <t>15-5303-01-00-00</t>
  </si>
  <si>
    <t>15-5305-01-00-00</t>
  </si>
  <si>
    <t>15-5306-01-00-00</t>
  </si>
  <si>
    <t>15-5306-02-00-00</t>
  </si>
  <si>
    <t>15-5307-01-00-00</t>
  </si>
  <si>
    <t>15-5307-02-00-00</t>
  </si>
  <si>
    <t>15-5401-01-00-00</t>
  </si>
  <si>
    <t>15-5401-02-00-00</t>
  </si>
  <si>
    <t>15-5700-01-00-00</t>
  </si>
  <si>
    <t>15-5705-01-00-00</t>
  </si>
  <si>
    <t>15-6500-01-00-00</t>
  </si>
  <si>
    <t>15-6500-02-00-00</t>
  </si>
  <si>
    <t>MNWD Potable Water Supplies &amp; Svcs.</t>
  </si>
  <si>
    <t>5005</t>
  </si>
  <si>
    <t>Co-generation Power Credit</t>
  </si>
  <si>
    <t>5020</t>
  </si>
  <si>
    <t>Postage</t>
  </si>
  <si>
    <t>Contract Serv - Digester Cleaning - 29E</t>
  </si>
  <si>
    <t>5068</t>
  </si>
  <si>
    <t>5105</t>
  </si>
  <si>
    <t>Co-Generation Power Credit - Offset</t>
  </si>
  <si>
    <t>5706</t>
  </si>
  <si>
    <t>Effluent Pond Cleaning</t>
  </si>
  <si>
    <t>17-5000-01-00-00</t>
  </si>
  <si>
    <t>17-5000-02-00-00</t>
  </si>
  <si>
    <t>17-5001-01-00-00</t>
  </si>
  <si>
    <t>17-5001-02-00-00</t>
  </si>
  <si>
    <t>17-5002-01-00-00</t>
  </si>
  <si>
    <t>17-5003-01-00-00</t>
  </si>
  <si>
    <t>17-5004-01-00-00</t>
  </si>
  <si>
    <t>17-5004-02-00-00</t>
  </si>
  <si>
    <t>17-5005-01-00-00</t>
  </si>
  <si>
    <t>17-5006-01-00-00</t>
  </si>
  <si>
    <t>17-5007-01-00-00</t>
  </si>
  <si>
    <t>17-5008-01-00-00</t>
  </si>
  <si>
    <t>17-5009-01-00-00</t>
  </si>
  <si>
    <t>17-5010-01-00-00</t>
  </si>
  <si>
    <t>17-5011-02-00-00</t>
  </si>
  <si>
    <t>17-5012-01-00-00</t>
  </si>
  <si>
    <t>17-5013-01-00-00</t>
  </si>
  <si>
    <t>17-5014-01-00-00</t>
  </si>
  <si>
    <t>17-5014-02-00-00</t>
  </si>
  <si>
    <t>17-5015-01-00-00</t>
  </si>
  <si>
    <t>17-5015-02-00-00</t>
  </si>
  <si>
    <t>17-5017-01-00-00</t>
  </si>
  <si>
    <t>17-5019-01-00-00</t>
  </si>
  <si>
    <t>17-5020-01-00-00</t>
  </si>
  <si>
    <t>17-5021-01-00-00</t>
  </si>
  <si>
    <t>17-5022-01-00-00</t>
  </si>
  <si>
    <t>17-5023-01-00-00</t>
  </si>
  <si>
    <t>17-5024-01-00-00</t>
  </si>
  <si>
    <t>17-5025-01-00-00</t>
  </si>
  <si>
    <t>17-5026-01-00-00</t>
  </si>
  <si>
    <t>17-5027-01-00-00</t>
  </si>
  <si>
    <t>17-5027-02-00-00</t>
  </si>
  <si>
    <t>17-5028-01-00-00</t>
  </si>
  <si>
    <t>17-5030-01-00-00</t>
  </si>
  <si>
    <t>17-5031-01-00-00</t>
  </si>
  <si>
    <t>17-5031-02-00-00</t>
  </si>
  <si>
    <t>17-5032-01-00-00</t>
  </si>
  <si>
    <t>17-5033-01-00-00</t>
  </si>
  <si>
    <t>17-5034-01-00-00</t>
  </si>
  <si>
    <t>17-5034-02-00-00</t>
  </si>
  <si>
    <t>17-5035-01-00-00</t>
  </si>
  <si>
    <t>17-5035-02-00-00</t>
  </si>
  <si>
    <t>17-5036-01-00-00</t>
  </si>
  <si>
    <t>17-5036-02-00-00</t>
  </si>
  <si>
    <t>17-5037-01-00-00</t>
  </si>
  <si>
    <t>17-5038-01-00-00</t>
  </si>
  <si>
    <t>17-5038-02-00-00</t>
  </si>
  <si>
    <t>17-5039-01-00-00</t>
  </si>
  <si>
    <t>17-5039-02-00-00</t>
  </si>
  <si>
    <t>17-5049-01-00-00</t>
  </si>
  <si>
    <t>17-5050-01-00-00</t>
  </si>
  <si>
    <t>17-5052-01-00-00</t>
  </si>
  <si>
    <t>17-5053-01-00-00</t>
  </si>
  <si>
    <t>17-5054-01-00-00</t>
  </si>
  <si>
    <t>17-5055-01-00-00</t>
  </si>
  <si>
    <t>17-5056-01-00-00</t>
  </si>
  <si>
    <t>17-5057-01-00-00</t>
  </si>
  <si>
    <t>17-5058-01-00-00</t>
  </si>
  <si>
    <t>17-5059-01-00-00</t>
  </si>
  <si>
    <t>17-5060-01-00-00</t>
  </si>
  <si>
    <t>17-5061-01-00-00</t>
  </si>
  <si>
    <t>17-5061-02-00-00</t>
  </si>
  <si>
    <t>17-5068-02-00-00</t>
  </si>
  <si>
    <t>17-5076-01-03-00</t>
  </si>
  <si>
    <t>17-5077-01-00-00</t>
  </si>
  <si>
    <t>17-5101-01-00-00</t>
  </si>
  <si>
    <t>17-5105-01-00-00</t>
  </si>
  <si>
    <t>17-5301-01-00-00</t>
  </si>
  <si>
    <t>17-5302-01-00-00</t>
  </si>
  <si>
    <t>17-5303-02-00-00</t>
  </si>
  <si>
    <t>17-5305-01-00-00</t>
  </si>
  <si>
    <t>17-5305-02-00-00</t>
  </si>
  <si>
    <t>17-5306-01-00-00</t>
  </si>
  <si>
    <t>17-5306-02-00-00</t>
  </si>
  <si>
    <t>17-5307-01-00-00</t>
  </si>
  <si>
    <t>17-5307-02-00-00</t>
  </si>
  <si>
    <t>17-5315-02-00-00</t>
  </si>
  <si>
    <t>17-5309-01-00-00</t>
  </si>
  <si>
    <t>17-5401-01-00-00</t>
  </si>
  <si>
    <t>17-5401-02-00-00</t>
  </si>
  <si>
    <t>17-5700-01-00-00</t>
  </si>
  <si>
    <t>17-5705-01-00-00</t>
  </si>
  <si>
    <t>17-5705-02-00-00</t>
  </si>
  <si>
    <t>17-5706-01-00-00</t>
  </si>
  <si>
    <t>17-6500-01-00-00</t>
  </si>
  <si>
    <t>17-6500-02-00-00</t>
  </si>
  <si>
    <t>Reach B/C/D</t>
  </si>
  <si>
    <t>Reach E</t>
  </si>
  <si>
    <t>Labor - Actual Use (Dept 1)</t>
  </si>
  <si>
    <t>Labor - Actual Use (Dept 2)</t>
  </si>
  <si>
    <t>Labor - Allocation (Dept 1)</t>
  </si>
  <si>
    <t>Labor - Allocation (Dept 2)</t>
  </si>
  <si>
    <t>PC21 - Effluent Transmission Main</t>
  </si>
  <si>
    <t>21-5000-01-00-00</t>
  </si>
  <si>
    <t>21-5000-02-00-00</t>
  </si>
  <si>
    <t>21-5014-02-00-00</t>
  </si>
  <si>
    <t>21-5015-01-00-00</t>
  </si>
  <si>
    <t>21-5019-02-00-00</t>
  </si>
  <si>
    <t>21-5027-02-00-00</t>
  </si>
  <si>
    <t>21-5028-01-00-00</t>
  </si>
  <si>
    <t>21-5028-02-00-00</t>
  </si>
  <si>
    <t>21-5069-02-00-00</t>
  </si>
  <si>
    <t>21-5401-01-00-00</t>
  </si>
  <si>
    <t>21-5401-02-00-00</t>
  </si>
  <si>
    <t>PC24 - Aliso Creek Ocean Outfall</t>
  </si>
  <si>
    <t xml:space="preserve">Legal </t>
  </si>
  <si>
    <t>Inspections/Port Cleaning</t>
  </si>
  <si>
    <t>24-5000-01-00-00</t>
  </si>
  <si>
    <t>24-5000-02-00-00</t>
  </si>
  <si>
    <t>24-5001-01-00-00</t>
  </si>
  <si>
    <t>24-5001-02-00-00</t>
  </si>
  <si>
    <t>24-5002-01-00-00</t>
  </si>
  <si>
    <t>24-5002-02-00-00</t>
  </si>
  <si>
    <t>24-5014-01-00-00</t>
  </si>
  <si>
    <t>24-5014-02-00-00</t>
  </si>
  <si>
    <t>24-5015-01-00-00</t>
  </si>
  <si>
    <t>24-5015-02-00-00</t>
  </si>
  <si>
    <t>24-5017-01-00-00</t>
  </si>
  <si>
    <t>24-5017-02-00-00</t>
  </si>
  <si>
    <t>24-5027-01-00-00</t>
  </si>
  <si>
    <t>24-5027-02-00-00</t>
  </si>
  <si>
    <t>24-5031-02-00-00</t>
  </si>
  <si>
    <t>24-5034-02-00-00</t>
  </si>
  <si>
    <t>24-5035-02-00-00</t>
  </si>
  <si>
    <t>24-5036-02-00-00</t>
  </si>
  <si>
    <t>24-5038-02-00-00</t>
  </si>
  <si>
    <t>24-5044-02-00-00</t>
  </si>
  <si>
    <t>24-5045-02-00-00</t>
  </si>
  <si>
    <t>24-5046-02-00-00</t>
  </si>
  <si>
    <t>24-5058-01-00-00</t>
  </si>
  <si>
    <t>24-5067-02-00-00</t>
  </si>
  <si>
    <t>24-5069-02-00-00</t>
  </si>
  <si>
    <t>24-5306-01-00-00</t>
  </si>
  <si>
    <t>24-5306-02-00-00</t>
  </si>
  <si>
    <t>24-5302-01-00-00</t>
  </si>
  <si>
    <t>24-5307-02-00-00</t>
  </si>
  <si>
    <t>24-5401-01-00-00</t>
  </si>
  <si>
    <t>24-5401-02-00-00</t>
  </si>
  <si>
    <t>24-6500-01-00-00</t>
  </si>
  <si>
    <t>24-6500-02-00-00</t>
  </si>
  <si>
    <t>Region 9</t>
  </si>
  <si>
    <t>Equally</t>
  </si>
  <si>
    <t>Labor - Overtime (Dept 1)</t>
  </si>
  <si>
    <t>Labor - Overtime (Dept 2)</t>
  </si>
  <si>
    <t>Count data</t>
  </si>
  <si>
    <t>SJCOO</t>
  </si>
  <si>
    <t>Coastal</t>
  </si>
  <si>
    <t>Regional</t>
  </si>
  <si>
    <t>ETM</t>
  </si>
  <si>
    <t>ACOO</t>
  </si>
  <si>
    <t>Total Allocation</t>
  </si>
  <si>
    <t>%</t>
  </si>
  <si>
    <t>Outfall - Fixed</t>
  </si>
  <si>
    <t>Outfall - Variable</t>
  </si>
  <si>
    <t>12-5000-01-00-00</t>
  </si>
  <si>
    <t>12-5000-02-00-00</t>
  </si>
  <si>
    <t>12-5001-02-00-00</t>
  </si>
  <si>
    <t>12-5015-02-00-00</t>
  </si>
  <si>
    <t>12-5017-02-00-00</t>
  </si>
  <si>
    <t>12-5027-02-00-00</t>
  </si>
  <si>
    <t>12-5034-02-00-00</t>
  </si>
  <si>
    <t>12-5038-02-00-00</t>
  </si>
  <si>
    <t>12-5305-02-00-00</t>
  </si>
  <si>
    <t>12-5306-02-00-00</t>
  </si>
  <si>
    <t>12-5401-01-00-00</t>
  </si>
  <si>
    <t>12-5401-02-00-00</t>
  </si>
  <si>
    <t>12-5705-02-00-00</t>
  </si>
  <si>
    <t>12-6500-02-00-00</t>
  </si>
  <si>
    <t>PC17 - Regional WWTP</t>
  </si>
  <si>
    <t>Regional WWTP</t>
  </si>
  <si>
    <t>24-5802-01-00-00</t>
  </si>
  <si>
    <t>Shipping &amp; Freight</t>
  </si>
  <si>
    <t>Original Allocation</t>
  </si>
  <si>
    <t>NEW Allocation</t>
  </si>
  <si>
    <t xml:space="preserve">          **-5000-**-**-**</t>
  </si>
  <si>
    <t>Labor - Actual Use</t>
  </si>
  <si>
    <t xml:space="preserve">          **-5001-**-**-**</t>
  </si>
  <si>
    <t>Labor - Overtime</t>
  </si>
  <si>
    <t xml:space="preserve">          **-5302-**-**-**</t>
  </si>
  <si>
    <t xml:space="preserve">          **-5306-**-**-**</t>
  </si>
  <si>
    <t xml:space="preserve">          **-5307-**-**-**</t>
  </si>
  <si>
    <t xml:space="preserve">          **-5315-**-**-**</t>
  </si>
  <si>
    <t xml:space="preserve">          **-5401-**-**-**</t>
  </si>
  <si>
    <t>Labor - Allocation</t>
  </si>
  <si>
    <t xml:space="preserve">          **-5700-**-**-**</t>
  </si>
  <si>
    <t>N/A</t>
  </si>
  <si>
    <t xml:space="preserve">          **-5002-**-**-**</t>
  </si>
  <si>
    <t xml:space="preserve">          **-5003-**-**-**</t>
  </si>
  <si>
    <t xml:space="preserve">          **-5004-**-**-**</t>
  </si>
  <si>
    <t xml:space="preserve">          **-5005-**-**-**</t>
  </si>
  <si>
    <t xml:space="preserve">          **-5006-**-**-**</t>
  </si>
  <si>
    <t xml:space="preserve">          **-5007-**-**-**</t>
  </si>
  <si>
    <t xml:space="preserve">          **-5008-**-**-**</t>
  </si>
  <si>
    <t xml:space="preserve">          **-5009-**-**-**</t>
  </si>
  <si>
    <t xml:space="preserve">          **-5010-**-**-**</t>
  </si>
  <si>
    <t xml:space="preserve">          **-5011-**-**-**</t>
  </si>
  <si>
    <t xml:space="preserve">          **-5012-**-**-**</t>
  </si>
  <si>
    <t>Grit Hauling</t>
  </si>
  <si>
    <t xml:space="preserve">          **-5013-**-**-**</t>
  </si>
  <si>
    <t xml:space="preserve">          **-5014-**-**-**</t>
  </si>
  <si>
    <t xml:space="preserve">          **-5015-**-**-**</t>
  </si>
  <si>
    <t xml:space="preserve">          **-5016-**-**-**</t>
  </si>
  <si>
    <t xml:space="preserve">          **-5017-**-**-**</t>
  </si>
  <si>
    <t xml:space="preserve">          **-5018-**-**-**</t>
  </si>
  <si>
    <t xml:space="preserve">          **-5019-**-**-**</t>
  </si>
  <si>
    <t>Contract Services Misc.</t>
  </si>
  <si>
    <t xml:space="preserve">          **-5021-**-**-**</t>
  </si>
  <si>
    <t>Small Vehicle Expense</t>
  </si>
  <si>
    <t xml:space="preserve">          **-5022-**-**-**</t>
  </si>
  <si>
    <t xml:space="preserve">          **-5023-**-**-**</t>
  </si>
  <si>
    <t xml:space="preserve">          **-5024-**-**-**</t>
  </si>
  <si>
    <t xml:space="preserve">          **-5025-**-**-**</t>
  </si>
  <si>
    <t xml:space="preserve">          **-5026-**-**-**</t>
  </si>
  <si>
    <t xml:space="preserve">          **-5027-**-**-**</t>
  </si>
  <si>
    <t xml:space="preserve">          **-5028-**-**-**</t>
  </si>
  <si>
    <t xml:space="preserve">          **-5030-**-**-**</t>
  </si>
  <si>
    <t xml:space="preserve">          **-5031-**-**-**</t>
  </si>
  <si>
    <t xml:space="preserve">          **-5032-**-**-**</t>
  </si>
  <si>
    <t xml:space="preserve">          **-5033-**-**-**</t>
  </si>
  <si>
    <t xml:space="preserve">          **-5034-**-**-**</t>
  </si>
  <si>
    <t xml:space="preserve">          **-5035-**-**-**</t>
  </si>
  <si>
    <t xml:space="preserve">          **-5036-**-**-**</t>
  </si>
  <si>
    <t xml:space="preserve">          **-5037-**-**-**</t>
  </si>
  <si>
    <t xml:space="preserve">          **-5038-**-**-**</t>
  </si>
  <si>
    <t xml:space="preserve">          **-5039-**-**-**</t>
  </si>
  <si>
    <t xml:space="preserve">          **-5044-**-**-**</t>
  </si>
  <si>
    <t>Offshore Monitoring</t>
  </si>
  <si>
    <t xml:space="preserve">          **-5045-**-**-**</t>
  </si>
  <si>
    <t xml:space="preserve">          **-5046-**-**-**</t>
  </si>
  <si>
    <t>Effluent Chemistry</t>
  </si>
  <si>
    <t xml:space="preserve">          **-5047-**-**-**</t>
  </si>
  <si>
    <t xml:space="preserve">          **-5048-**-**-**</t>
  </si>
  <si>
    <t xml:space="preserve">          **-5049-**-**-**</t>
  </si>
  <si>
    <t>Biosolids Disposal</t>
  </si>
  <si>
    <t xml:space="preserve">          **-5050-**-**-**</t>
  </si>
  <si>
    <t>Contract Services Generators</t>
  </si>
  <si>
    <t xml:space="preserve">          **-5052-**-**-**</t>
  </si>
  <si>
    <t xml:space="preserve">          **-5053-**-**-**</t>
  </si>
  <si>
    <t xml:space="preserve">          **-5054-**-**-**</t>
  </si>
  <si>
    <t>Diesel Truck Maint</t>
  </si>
  <si>
    <t xml:space="preserve">          **-5055-**-**-**</t>
  </si>
  <si>
    <t xml:space="preserve">          **-5056-**-**-**</t>
  </si>
  <si>
    <t>Maintenance Equip. &amp; Facilities (Solids)</t>
  </si>
  <si>
    <t xml:space="preserve">          **-5057-**-**-**</t>
  </si>
  <si>
    <t>Maintenance Equip. &amp; Facilities (Liquids)</t>
  </si>
  <si>
    <t>Liquids - Solid Area</t>
  </si>
  <si>
    <t xml:space="preserve">          **-5058-**-**-**</t>
  </si>
  <si>
    <t>Maintenance Equip. &amp; Facilities (Common)</t>
  </si>
  <si>
    <t xml:space="preserve">          **-5059-**-**-**</t>
  </si>
  <si>
    <t>Maintenance Equip. &amp; Facilities (Co-Gen)</t>
  </si>
  <si>
    <t xml:space="preserve">          **-5060-**-**-**</t>
  </si>
  <si>
    <t>Maintenance Equip. &amp; Facilities (AWT)</t>
  </si>
  <si>
    <t xml:space="preserve">          **-5061-**-**-**</t>
  </si>
  <si>
    <t xml:space="preserve">          **-5067-**-**-**</t>
  </si>
  <si>
    <t xml:space="preserve">          **-5068-**-**-**</t>
  </si>
  <si>
    <t xml:space="preserve">          **-5069-**-**-**</t>
  </si>
  <si>
    <t xml:space="preserve">          **-5076-**-**-**</t>
  </si>
  <si>
    <t xml:space="preserve">          **-5077-**-**-**</t>
  </si>
  <si>
    <t xml:space="preserve">          **-5101-**-**-**</t>
  </si>
  <si>
    <t xml:space="preserve">          **-5105-**-**-**</t>
  </si>
  <si>
    <t xml:space="preserve">          **-5114-**-**-**</t>
  </si>
  <si>
    <t xml:space="preserve">          **-5301-**-**-**</t>
  </si>
  <si>
    <t xml:space="preserve">          **-5303-**-**-**</t>
  </si>
  <si>
    <t xml:space="preserve">          **-5305-**-**-**</t>
  </si>
  <si>
    <t xml:space="preserve">          **-5309-**-**-**</t>
  </si>
  <si>
    <t xml:space="preserve">          **-5705-**-**-**</t>
  </si>
  <si>
    <t xml:space="preserve">          **-5706-**-**-**</t>
  </si>
  <si>
    <t xml:space="preserve">          **-6500-**-**-**</t>
  </si>
  <si>
    <t>PC5 &amp; PC24 - Outfalls</t>
  </si>
  <si>
    <t>Applies only to effluent transmission main (PC21) with a 2/3 and 1/3 split between Reach B/C/D and Reach E, respectively.</t>
  </si>
  <si>
    <t>Allocation</t>
  </si>
  <si>
    <t>Definition</t>
  </si>
  <si>
    <t>Cost allocated to solid ONLY.</t>
  </si>
  <si>
    <t>Cost allocated to liquid ONLY.</t>
  </si>
  <si>
    <t>Cost allocated to AWT ONLY.</t>
  </si>
  <si>
    <t>Allocated based on engineering report.</t>
  </si>
  <si>
    <t>Allocated based on a historical study.</t>
  </si>
  <si>
    <t>Applies only to PC12, which allocates 50% of costs to Region 9 and 50% Equally.</t>
  </si>
  <si>
    <t>Allocated based on airflows to system by source.</t>
  </si>
  <si>
    <t>Allocated based on the assumed benefit.</t>
  </si>
  <si>
    <t>Allocated based on tracked AWT and RAS usage.</t>
  </si>
  <si>
    <t>Applies only to PC8, which allocates 100% of costs to either Insurance or Timecards.</t>
  </si>
  <si>
    <t>Allocated based on meters of large equipment.</t>
  </si>
  <si>
    <t>Allocated based on HP of equipment run times.</t>
  </si>
  <si>
    <t>Cost allocated to common ONLY. Split equally between common liquids and common solids, if necessary.</t>
  </si>
  <si>
    <t>Cost allocated to fixed ONLY. Applies only to outfalls (PC5 &amp; PC24)</t>
  </si>
  <si>
    <t>Costs allocated to variable ONLY. Applies only to outfalls (PC5 &amp; PC24)</t>
  </si>
  <si>
    <t>Allocated based on actual use (timecard) percentages.</t>
  </si>
  <si>
    <t>Allocated based on actual use (timecard) percentages, for overtime entries ONLY.</t>
  </si>
  <si>
    <t>Allocated calculated from actual bills coded (dollar amounts).</t>
  </si>
  <si>
    <t>Allocation representative of staff's actual timecard inputs.</t>
  </si>
  <si>
    <t>Proposed Allocation</t>
  </si>
  <si>
    <t>Losses/Gains (Proposed - Original)</t>
  </si>
  <si>
    <t>Key</t>
  </si>
  <si>
    <r>
      <t xml:space="preserve">Member agency owes </t>
    </r>
    <r>
      <rPr>
        <b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than original allocation</t>
    </r>
  </si>
  <si>
    <r>
      <t xml:space="preserve">Member agency owes </t>
    </r>
    <r>
      <rPr>
        <b/>
        <sz val="11"/>
        <color theme="1"/>
        <rFont val="Calibri"/>
        <family val="2"/>
        <scheme val="minor"/>
      </rPr>
      <t>MORE</t>
    </r>
    <r>
      <rPr>
        <sz val="11"/>
        <color theme="1"/>
        <rFont val="Calibri"/>
        <family val="2"/>
        <scheme val="minor"/>
      </rPr>
      <t xml:space="preserve"> than original allocation</t>
    </r>
  </si>
  <si>
    <t>Total Change</t>
  </si>
  <si>
    <t>% of Total PC Budget</t>
  </si>
  <si>
    <t>PC5
SJCOO</t>
  </si>
  <si>
    <t>PC15
Coastal</t>
  </si>
  <si>
    <t>PC17
Regional</t>
  </si>
  <si>
    <t>PC21
ETM</t>
  </si>
  <si>
    <t>PC24
ACOO</t>
  </si>
  <si>
    <t>Recycled Water Permits</t>
  </si>
  <si>
    <t>PC12 - Recycled Water Permits</t>
  </si>
  <si>
    <t>Apportionment Methodology</t>
  </si>
  <si>
    <t>Apportionment Bases</t>
  </si>
  <si>
    <t>Rounding</t>
  </si>
  <si>
    <t>*Rounding may impact these values</t>
  </si>
  <si>
    <t>FY17-18 Budget Use Projections</t>
  </si>
  <si>
    <t>FY17-18 Ownership</t>
  </si>
  <si>
    <t>Outfall Flow</t>
  </si>
  <si>
    <t>Capacity</t>
  </si>
  <si>
    <t>FY17-18 Budget Ownership</t>
  </si>
  <si>
    <t>J.B. Latham</t>
  </si>
  <si>
    <t>PC2
J.B. Latham</t>
  </si>
  <si>
    <t>Common</t>
  </si>
  <si>
    <t>FY 2017-18 O&amp;M Budget - Cost Summary</t>
  </si>
  <si>
    <t>JB Latham WWTP</t>
  </si>
  <si>
    <t>San Juan Creek Outfall</t>
  </si>
  <si>
    <t>Aliso Creek Outfall</t>
  </si>
  <si>
    <r>
      <rPr>
        <b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expenses than current</t>
    </r>
  </si>
  <si>
    <r>
      <rPr>
        <b/>
        <sz val="11"/>
        <color theme="1"/>
        <rFont val="Calibri"/>
        <family val="2"/>
        <scheme val="minor"/>
      </rPr>
      <t>MORE</t>
    </r>
    <r>
      <rPr>
        <sz val="11"/>
        <color theme="1"/>
        <rFont val="Calibri"/>
        <family val="2"/>
        <scheme val="minor"/>
      </rPr>
      <t xml:space="preserve"> expenses than current</t>
    </r>
  </si>
  <si>
    <t>Proposed</t>
  </si>
  <si>
    <t>Total Expenses</t>
  </si>
  <si>
    <t>Change in Total Expenses</t>
  </si>
  <si>
    <t>Original</t>
  </si>
  <si>
    <t>Apportionment Basis</t>
  </si>
  <si>
    <t>Losses/Gains (Proposed - Original)*</t>
  </si>
  <si>
    <t>No changes made</t>
  </si>
  <si>
    <t>Total PC Budget</t>
  </si>
  <si>
    <t>Change in Total PC Budget</t>
  </si>
  <si>
    <t>All Others</t>
  </si>
  <si>
    <t>Treatment Plants</t>
  </si>
  <si>
    <t>Outfalls</t>
  </si>
  <si>
    <t>Others</t>
  </si>
  <si>
    <t>% of Total O&amp;M Budget</t>
  </si>
  <si>
    <t>PC Total</t>
  </si>
  <si>
    <t>PC Total Change</t>
  </si>
  <si>
    <t>Outfall Flows</t>
  </si>
  <si>
    <t>v</t>
  </si>
  <si>
    <t>Ourfall Flows</t>
  </si>
  <si>
    <t>Total Changes</t>
  </si>
  <si>
    <t>Functional Category Total</t>
  </si>
  <si>
    <t>Total Functional Category Change</t>
  </si>
  <si>
    <t>PC12
Recycled Water Permits</t>
  </si>
  <si>
    <t>PC8
Pre-Treatment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</si>
</sst>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%;\-0;\-;@"/>
    <numFmt numFmtId="167" formatCode="0.0%;\-0.0;\-;@"/>
    <numFmt numFmtId="168" formatCode="0.00%;\-0.00;\-;@"/>
    <numFmt numFmtId="169" formatCode="0.00000%;\-0.00000;\-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7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0"/>
      <name val="MS Sans Serif"/>
      <family val="2"/>
    </font>
    <font>
      <sz val="10"/>
      <color indexed="72"/>
      <name val="MS Sans Serif"/>
      <family val="2"/>
    </font>
    <font>
      <sz val="10"/>
      <name val="MS Serif"/>
      <family val="1"/>
    </font>
    <font>
      <b/>
      <sz val="14"/>
      <color theme="3"/>
      <name val="Calibri Light"/>
      <family val="2"/>
      <scheme val="major"/>
    </font>
    <font>
      <sz val="10"/>
      <color rgb="FFFF0000"/>
      <name val="MS Sans Serif"/>
      <family val="2"/>
    </font>
    <font>
      <b/>
      <sz val="11"/>
      <color rgb="FF0070C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3F3F3F"/>
      <name val="Calibri"/>
      <family val="2"/>
      <scheme val="minor"/>
    </font>
    <font>
      <b/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0"/>
      <color theme="4" tint="-0.249977111117893"/>
      <name val="MS Sans Serif"/>
      <family val="2"/>
    </font>
    <font>
      <b/>
      <sz val="11"/>
      <color theme="0" tint="-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002060"/>
      <name val="Calibri"/>
      <family val="2"/>
    </font>
    <font>
      <b/>
      <sz val="16"/>
      <color rgb="FF002060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3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i/>
      <sz val="8"/>
      <color rgb="FF7F7F7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Down">
        <f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5"/>
      </patternFill>
    </fill>
    <fill>
      <patternFill patternType="lightDown">
        <fgColor auto="1"/>
        <bgColor theme="3" tint="0.79998168889431442"/>
      </patternFill>
    </fill>
    <fill>
      <patternFill patternType="solid">
        <fgColor theme="9" tint="0.59999389629810485"/>
        <bgColor indexed="64"/>
      </patternFill>
    </fill>
    <fill>
      <patternFill patternType="lightDown">
        <fgColor auto="1"/>
        <bgColor theme="9" tint="0.59999389629810485"/>
      </patternFill>
    </fill>
    <fill>
      <patternFill patternType="solid">
        <fgColor rgb="FFFFC5C5"/>
      </patternFill>
    </fill>
    <fill>
      <patternFill patternType="solid">
        <fgColor rgb="FFFFC5C5"/>
        <bgColor indexed="6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lightDown">
        <fgColor auto="1"/>
        <bgColor theme="7" tint="0.59999389629810485"/>
      </patternFill>
    </fill>
    <fill>
      <patternFill patternType="lightDown">
        <fgColor auto="1"/>
        <bgColor theme="8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EBB59"/>
        <bgColor indexed="64"/>
      </patternFill>
    </fill>
    <fill>
      <patternFill patternType="lightDown">
        <fgColor auto="1"/>
        <bgColor rgb="FF7EBB5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BFC5B3"/>
        <bgColor indexed="64"/>
      </patternFill>
    </fill>
    <fill>
      <patternFill patternType="solid">
        <fgColor rgb="FFE4C9AE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double">
        <color rgb="FF0070C0"/>
      </right>
      <top style="medium">
        <color theme="4" tint="0.39997558519241921"/>
      </top>
      <bottom style="thin">
        <color rgb="FF3F3F3F"/>
      </bottom>
      <diagonal/>
    </border>
    <border>
      <left style="thin">
        <color rgb="FF3F3F3F"/>
      </left>
      <right style="double">
        <color rgb="FF0070C0"/>
      </right>
      <top style="thin">
        <color rgb="FF3F3F3F"/>
      </top>
      <bottom style="thin">
        <color rgb="FF3F3F3F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/>
      <right/>
      <top/>
      <bottom style="double">
        <color rgb="FF007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rgb="FF0070C0"/>
      </bottom>
      <diagonal/>
    </border>
    <border>
      <left style="thin">
        <color rgb="FF3F3F3F"/>
      </left>
      <right style="double">
        <color rgb="FF0070C0"/>
      </right>
      <top style="thin">
        <color rgb="FF3F3F3F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/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double">
        <color theme="8"/>
      </right>
      <top/>
      <bottom/>
      <diagonal/>
    </border>
    <border>
      <left/>
      <right style="double">
        <color theme="8"/>
      </right>
      <top style="thin">
        <color theme="4"/>
      </top>
      <bottom style="double">
        <color theme="4"/>
      </bottom>
      <diagonal/>
    </border>
    <border>
      <left/>
      <right style="double">
        <color theme="8"/>
      </right>
      <top/>
      <bottom style="thin">
        <color theme="4"/>
      </bottom>
      <diagonal/>
    </border>
    <border>
      <left/>
      <right style="thin">
        <color theme="8"/>
      </right>
      <top/>
      <bottom/>
      <diagonal/>
    </border>
    <border>
      <left style="thin">
        <color rgb="FF3F3F3F"/>
      </left>
      <right style="thin">
        <color theme="8"/>
      </right>
      <top/>
      <bottom style="thin">
        <color rgb="FF3F3F3F"/>
      </bottom>
      <diagonal/>
    </border>
    <border>
      <left style="thin">
        <color rgb="FF3F3F3F"/>
      </left>
      <right style="thin">
        <color theme="8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theme="4"/>
      </bottom>
      <diagonal/>
    </border>
    <border>
      <left style="thin">
        <color theme="8"/>
      </left>
      <right/>
      <top/>
      <bottom style="medium">
        <color theme="4" tint="0.39997558519241921"/>
      </bottom>
      <diagonal/>
    </border>
    <border>
      <left/>
      <right style="thin">
        <color theme="8"/>
      </right>
      <top/>
      <bottom style="medium">
        <color theme="4" tint="0.39997558519241921"/>
      </bottom>
      <diagonal/>
    </border>
    <border>
      <left style="thin">
        <color theme="8"/>
      </left>
      <right/>
      <top/>
      <bottom style="thin">
        <color indexed="64"/>
      </bottom>
      <diagonal/>
    </border>
    <border>
      <left/>
      <right style="thin">
        <color theme="8"/>
      </right>
      <top/>
      <bottom style="thin">
        <color indexed="64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8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/>
      <top style="thin">
        <color indexed="64"/>
      </top>
      <bottom style="thin">
        <color theme="8"/>
      </bottom>
      <diagonal/>
    </border>
    <border>
      <left/>
      <right/>
      <top style="thin">
        <color indexed="64"/>
      </top>
      <bottom style="thin">
        <color theme="8"/>
      </bottom>
      <diagonal/>
    </border>
    <border>
      <left/>
      <right style="thin">
        <color theme="8"/>
      </right>
      <top style="thin">
        <color indexed="64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rgb="FF3F3F3F"/>
      </left>
      <right/>
      <top style="medium">
        <color theme="4" tint="0.39997558519241921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/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/>
      <top style="thin">
        <color rgb="FF3F3F3F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theme="4" tint="0.39997558519241921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5" borderId="0" applyNumberFormat="0" applyBorder="0" applyAlignment="0" applyProtection="0"/>
    <xf numFmtId="0" fontId="13" fillId="0" borderId="0"/>
    <xf numFmtId="0" fontId="5" fillId="2" borderId="0" applyNumberFormat="0" applyBorder="0" applyAlignment="0" applyProtection="0"/>
    <xf numFmtId="0" fontId="16" fillId="4" borderId="6">
      <alignment horizontal="center"/>
    </xf>
    <xf numFmtId="10" fontId="19" fillId="6" borderId="3" applyBorder="0"/>
    <xf numFmtId="0" fontId="13" fillId="11" borderId="0"/>
    <xf numFmtId="0" fontId="22" fillId="0" borderId="0"/>
    <xf numFmtId="9" fontId="23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33" applyNumberFormat="0" applyFill="0" applyAlignment="0" applyProtection="0"/>
    <xf numFmtId="0" fontId="11" fillId="23" borderId="0" applyNumberFormat="0" applyBorder="0" applyAlignment="0" applyProtection="0"/>
    <xf numFmtId="0" fontId="1" fillId="33" borderId="0" applyNumberFormat="0" applyBorder="0" applyAlignment="0" applyProtection="0"/>
  </cellStyleXfs>
  <cellXfs count="795">
    <xf numFmtId="0" fontId="0" fillId="0" borderId="0" xfId="0"/>
    <xf numFmtId="0" fontId="12" fillId="0" borderId="0" xfId="3" applyFont="1" applyAlignment="1">
      <alignment vertical="center"/>
    </xf>
    <xf numFmtId="0" fontId="14" fillId="0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/>
    <xf numFmtId="0" fontId="4" fillId="0" borderId="0" xfId="6" applyAlignment="1">
      <alignment horizontal="center" vertical="center"/>
    </xf>
    <xf numFmtId="0" fontId="0" fillId="0" borderId="0" xfId="0" applyAlignment="1">
      <alignment horizontal="center"/>
    </xf>
    <xf numFmtId="38" fontId="11" fillId="7" borderId="2" xfId="10" applyNumberFormat="1" applyFill="1" applyBorder="1" applyAlignment="1">
      <alignment horizontal="center" vertical="center"/>
    </xf>
    <xf numFmtId="38" fontId="11" fillId="8" borderId="2" xfId="10" applyNumberFormat="1" applyFill="1" applyBorder="1" applyAlignment="1">
      <alignment horizontal="center" vertical="center"/>
    </xf>
    <xf numFmtId="0" fontId="4" fillId="0" borderId="2" xfId="5"/>
    <xf numFmtId="0" fontId="12" fillId="0" borderId="0" xfId="3" applyFont="1" applyFill="1" applyAlignment="1">
      <alignment vertical="center"/>
    </xf>
    <xf numFmtId="0" fontId="0" fillId="0" borderId="0" xfId="0" applyFill="1"/>
    <xf numFmtId="0" fontId="10" fillId="0" borderId="0" xfId="0" applyFont="1"/>
    <xf numFmtId="0" fontId="11" fillId="5" borderId="2" xfId="10" applyBorder="1" applyAlignment="1">
      <alignment horizontal="center" vertical="center"/>
    </xf>
    <xf numFmtId="17" fontId="11" fillId="5" borderId="2" xfId="10" applyNumberFormat="1" applyBorder="1" applyAlignment="1">
      <alignment horizontal="center" vertical="center"/>
    </xf>
    <xf numFmtId="0" fontId="4" fillId="0" borderId="2" xfId="5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/>
    <xf numFmtId="164" fontId="15" fillId="0" borderId="0" xfId="1" applyNumberFormat="1" applyFont="1" applyFill="1"/>
    <xf numFmtId="164" fontId="17" fillId="0" borderId="0" xfId="1" applyNumberFormat="1" applyFont="1" applyFill="1"/>
    <xf numFmtId="49" fontId="10" fillId="0" borderId="4" xfId="9" applyNumberFormat="1" applyFill="1" applyAlignment="1">
      <alignment horizontal="center" vertical="center"/>
    </xf>
    <xf numFmtId="0" fontId="10" fillId="0" borderId="4" xfId="9" applyFill="1" applyAlignment="1">
      <alignment horizontal="center" vertical="center"/>
    </xf>
    <xf numFmtId="0" fontId="10" fillId="0" borderId="4" xfId="9" applyFill="1"/>
    <xf numFmtId="164" fontId="10" fillId="0" borderId="4" xfId="9" applyNumberFormat="1" applyFill="1"/>
    <xf numFmtId="164" fontId="18" fillId="0" borderId="0" xfId="1" applyNumberFormat="1" applyFont="1" applyFill="1"/>
    <xf numFmtId="49" fontId="10" fillId="0" borderId="4" xfId="9" applyNumberFormat="1" applyFill="1" applyAlignment="1">
      <alignment horizontal="left"/>
    </xf>
    <xf numFmtId="0" fontId="10" fillId="0" borderId="4" xfId="9" applyAlignment="1">
      <alignment horizontal="center" vertical="center"/>
    </xf>
    <xf numFmtId="0" fontId="10" fillId="0" borderId="4" xfId="9"/>
    <xf numFmtId="164" fontId="10" fillId="0" borderId="4" xfId="9" applyNumberFormat="1"/>
    <xf numFmtId="0" fontId="4" fillId="0" borderId="2" xfId="5" applyFill="1" applyAlignment="1">
      <alignment horizontal="center" vertical="center"/>
    </xf>
    <xf numFmtId="164" fontId="16" fillId="0" borderId="0" xfId="1" applyNumberFormat="1" applyFont="1" applyFill="1"/>
    <xf numFmtId="0" fontId="7" fillId="5" borderId="2" xfId="10" applyFont="1" applyBorder="1" applyAlignment="1">
      <alignment horizontal="center" vertical="center"/>
    </xf>
    <xf numFmtId="0" fontId="4" fillId="0" borderId="2" xfId="5" applyFont="1" applyFill="1" applyAlignment="1">
      <alignment vertical="center"/>
    </xf>
    <xf numFmtId="164" fontId="10" fillId="0" borderId="4" xfId="9" applyNumberFormat="1" applyFont="1"/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/>
    <xf numFmtId="0" fontId="16" fillId="0" borderId="0" xfId="0" applyFont="1" applyFill="1"/>
    <xf numFmtId="0" fontId="4" fillId="0" borderId="0" xfId="6" applyFill="1"/>
    <xf numFmtId="10" fontId="10" fillId="0" borderId="4" xfId="9" applyNumberFormat="1" applyFill="1"/>
    <xf numFmtId="0" fontId="9" fillId="0" borderId="0" xfId="8" applyAlignment="1">
      <alignment horizontal="center" vertical="center"/>
    </xf>
    <xf numFmtId="0" fontId="4" fillId="0" borderId="0" xfId="5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0" fillId="0" borderId="0" xfId="0" applyFill="1" applyBorder="1"/>
    <xf numFmtId="44" fontId="6" fillId="3" borderId="3" xfId="7" applyNumberFormat="1"/>
    <xf numFmtId="44" fontId="10" fillId="0" borderId="4" xfId="9" applyNumberFormat="1"/>
    <xf numFmtId="0" fontId="8" fillId="0" borderId="0" xfId="0" applyFont="1"/>
    <xf numFmtId="0" fontId="0" fillId="0" borderId="0" xfId="0" applyAlignment="1">
      <alignment horizontal="left" vertical="center"/>
    </xf>
    <xf numFmtId="0" fontId="9" fillId="0" borderId="0" xfId="8" applyAlignment="1">
      <alignment horizontal="left" vertical="center"/>
    </xf>
    <xf numFmtId="0" fontId="4" fillId="0" borderId="2" xfId="5" applyFill="1" applyAlignment="1">
      <alignment horizontal="left" vertical="center"/>
    </xf>
    <xf numFmtId="0" fontId="10" fillId="0" borderId="4" xfId="9" applyAlignment="1">
      <alignment horizontal="left" vertical="center"/>
    </xf>
    <xf numFmtId="0" fontId="4" fillId="0" borderId="2" xfId="5" applyAlignment="1">
      <alignment horizontal="left" vertical="center"/>
    </xf>
    <xf numFmtId="49" fontId="10" fillId="0" borderId="4" xfId="9" applyNumberFormat="1" applyFill="1" applyAlignment="1">
      <alignment horizontal="right"/>
    </xf>
    <xf numFmtId="0" fontId="10" fillId="0" borderId="4" xfId="9" applyAlignment="1">
      <alignment horizontal="right"/>
    </xf>
    <xf numFmtId="0" fontId="9" fillId="0" borderId="0" xfId="8" applyAlignment="1">
      <alignment horizontal="right"/>
    </xf>
    <xf numFmtId="10" fontId="9" fillId="0" borderId="0" xfId="2" applyNumberFormat="1" applyFont="1"/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0" fontId="4" fillId="6" borderId="0" xfId="6" applyNumberFormat="1" applyFill="1" applyBorder="1" applyAlignment="1">
      <alignment horizontal="center" vertical="center"/>
    </xf>
    <xf numFmtId="164" fontId="0" fillId="0" borderId="0" xfId="1" applyNumberFormat="1" applyFont="1"/>
    <xf numFmtId="164" fontId="1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0" fontId="4" fillId="0" borderId="2" xfId="5" applyFill="1" applyAlignment="1">
      <alignment horizontal="center" vertical="center"/>
    </xf>
    <xf numFmtId="0" fontId="4" fillId="0" borderId="2" xfId="5" applyFill="1"/>
    <xf numFmtId="0" fontId="13" fillId="11" borderId="0" xfId="15"/>
    <xf numFmtId="164" fontId="0" fillId="0" borderId="0" xfId="0" applyNumberFormat="1"/>
    <xf numFmtId="164" fontId="4" fillId="0" borderId="2" xfId="1" applyNumberFormat="1" applyFont="1" applyBorder="1"/>
    <xf numFmtId="164" fontId="4" fillId="0" borderId="2" xfId="1" applyNumberFormat="1" applyFont="1" applyBorder="1" applyAlignment="1">
      <alignment horizontal="left" vertical="center"/>
    </xf>
    <xf numFmtId="164" fontId="10" fillId="0" borderId="4" xfId="1" applyNumberFormat="1" applyFont="1" applyFill="1" applyBorder="1"/>
    <xf numFmtId="38" fontId="11" fillId="0" borderId="2" xfId="10" applyNumberFormat="1" applyFill="1" applyBorder="1" applyAlignment="1">
      <alignment horizontal="center" vertical="center"/>
    </xf>
    <xf numFmtId="164" fontId="6" fillId="3" borderId="3" xfId="7" applyNumberFormat="1"/>
    <xf numFmtId="164" fontId="6" fillId="3" borderId="7" xfId="7" applyNumberFormat="1" applyBorder="1"/>
    <xf numFmtId="164" fontId="13" fillId="11" borderId="0" xfId="15" applyNumberFormat="1"/>
    <xf numFmtId="164" fontId="4" fillId="0" borderId="2" xfId="5" applyNumberFormat="1"/>
    <xf numFmtId="0" fontId="0" fillId="0" borderId="0" xfId="0" applyAlignment="1"/>
    <xf numFmtId="0" fontId="4" fillId="0" borderId="2" xfId="5" applyFill="1" applyBorder="1" applyAlignment="1">
      <alignment horizontal="center" vertical="center"/>
    </xf>
    <xf numFmtId="0" fontId="4" fillId="0" borderId="12" xfId="5" applyFill="1" applyBorder="1" applyAlignment="1">
      <alignment horizontal="center" vertical="center"/>
    </xf>
    <xf numFmtId="0" fontId="13" fillId="11" borderId="10" xfId="15" applyBorder="1"/>
    <xf numFmtId="164" fontId="6" fillId="3" borderId="3" xfId="7" applyNumberFormat="1" applyBorder="1"/>
    <xf numFmtId="0" fontId="13" fillId="11" borderId="0" xfId="15" applyBorder="1"/>
    <xf numFmtId="164" fontId="6" fillId="3" borderId="13" xfId="7" applyNumberFormat="1" applyBorder="1"/>
    <xf numFmtId="10" fontId="10" fillId="0" borderId="4" xfId="9" applyNumberFormat="1" applyFill="1" applyBorder="1"/>
    <xf numFmtId="164" fontId="10" fillId="0" borderId="14" xfId="1" applyNumberFormat="1" applyFont="1" applyFill="1" applyBorder="1"/>
    <xf numFmtId="0" fontId="0" fillId="0" borderId="0" xfId="0" applyBorder="1"/>
    <xf numFmtId="0" fontId="0" fillId="0" borderId="15" xfId="0" applyBorder="1"/>
    <xf numFmtId="0" fontId="4" fillId="0" borderId="2" xfId="5" applyBorder="1"/>
    <xf numFmtId="164" fontId="10" fillId="0" borderId="4" xfId="9" applyNumberFormat="1" applyFill="1" applyBorder="1"/>
    <xf numFmtId="0" fontId="0" fillId="0" borderId="0" xfId="0" applyBorder="1" applyAlignment="1">
      <alignment horizontal="center"/>
    </xf>
    <xf numFmtId="164" fontId="10" fillId="0" borderId="4" xfId="9" applyNumberFormat="1" applyFont="1" applyBorder="1"/>
    <xf numFmtId="164" fontId="10" fillId="0" borderId="4" xfId="9" applyNumberFormat="1" applyBorder="1"/>
    <xf numFmtId="10" fontId="9" fillId="0" borderId="0" xfId="2" applyNumberFormat="1" applyFont="1" applyBorder="1"/>
    <xf numFmtId="10" fontId="0" fillId="0" borderId="0" xfId="2" applyNumberFormat="1" applyFont="1"/>
    <xf numFmtId="9" fontId="10" fillId="0" borderId="4" xfId="9" applyNumberFormat="1"/>
    <xf numFmtId="0" fontId="4" fillId="0" borderId="2" xfId="5" applyFill="1" applyAlignment="1">
      <alignment horizontal="center" vertical="center"/>
    </xf>
    <xf numFmtId="0" fontId="21" fillId="11" borderId="0" xfId="15" applyFont="1"/>
    <xf numFmtId="164" fontId="17" fillId="3" borderId="3" xfId="7" applyNumberFormat="1" applyFont="1"/>
    <xf numFmtId="0" fontId="16" fillId="0" borderId="0" xfId="0" applyFont="1" applyFill="1" applyBorder="1"/>
    <xf numFmtId="164" fontId="17" fillId="3" borderId="7" xfId="7" applyNumberFormat="1" applyFont="1" applyBorder="1"/>
    <xf numFmtId="164" fontId="21" fillId="11" borderId="0" xfId="15" applyNumberFormat="1" applyFont="1"/>
    <xf numFmtId="44" fontId="17" fillId="3" borderId="3" xfId="7" applyNumberFormat="1" applyFont="1"/>
    <xf numFmtId="10" fontId="16" fillId="0" borderId="0" xfId="14" applyFont="1" applyFill="1" applyBorder="1"/>
    <xf numFmtId="0" fontId="17" fillId="0" borderId="0" xfId="6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6" fillId="0" borderId="0" xfId="0" quotePrefix="1" applyNumberFormat="1" applyFont="1" applyFill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4" xfId="9" applyFont="1"/>
    <xf numFmtId="0" fontId="4" fillId="0" borderId="0" xfId="6" applyAlignment="1">
      <alignment horizontal="center"/>
    </xf>
    <xf numFmtId="10" fontId="10" fillId="0" borderId="4" xfId="9" applyNumberFormat="1"/>
    <xf numFmtId="0" fontId="16" fillId="0" borderId="0" xfId="0" applyFont="1" applyAlignment="1">
      <alignment horizontal="center" vertical="center"/>
    </xf>
    <xf numFmtId="164" fontId="0" fillId="0" borderId="0" xfId="0" applyNumberFormat="1" applyBorder="1"/>
    <xf numFmtId="38" fontId="4" fillId="0" borderId="2" xfId="5" applyNumberFormat="1" applyFill="1" applyAlignment="1">
      <alignment horizontal="center" vertical="center"/>
    </xf>
    <xf numFmtId="0" fontId="25" fillId="11" borderId="0" xfId="15" applyFont="1"/>
    <xf numFmtId="0" fontId="25" fillId="11" borderId="10" xfId="15" applyFont="1" applyBorder="1"/>
    <xf numFmtId="0" fontId="25" fillId="11" borderId="0" xfId="15" applyFont="1" applyBorder="1"/>
    <xf numFmtId="0" fontId="4" fillId="0" borderId="2" xfId="5" applyAlignment="1">
      <alignment horizontal="center" vertical="center"/>
    </xf>
    <xf numFmtId="164" fontId="13" fillId="11" borderId="0" xfId="15" applyNumberFormat="1" applyBorder="1"/>
    <xf numFmtId="0" fontId="10" fillId="0" borderId="0" xfId="0" applyFont="1" applyBorder="1"/>
    <xf numFmtId="0" fontId="4" fillId="0" borderId="0" xfId="6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6" fillId="0" borderId="0" xfId="0" applyNumberFormat="1" applyFont="1"/>
    <xf numFmtId="0" fontId="24" fillId="0" borderId="0" xfId="3" applyFont="1" applyBorder="1" applyAlignment="1">
      <alignment horizontal="center" vertical="center"/>
    </xf>
    <xf numFmtId="0" fontId="17" fillId="6" borderId="3" xfId="7" applyFont="1" applyFill="1" applyAlignment="1">
      <alignment horizontal="center" vertical="center"/>
    </xf>
    <xf numFmtId="0" fontId="17" fillId="19" borderId="3" xfId="7" applyFont="1" applyFill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164" fontId="10" fillId="0" borderId="24" xfId="0" applyNumberFormat="1" applyFont="1" applyBorder="1"/>
    <xf numFmtId="164" fontId="10" fillId="0" borderId="28" xfId="0" applyNumberFormat="1" applyFont="1" applyBorder="1"/>
    <xf numFmtId="164" fontId="10" fillId="0" borderId="29" xfId="0" applyNumberFormat="1" applyFont="1" applyBorder="1"/>
    <xf numFmtId="0" fontId="0" fillId="0" borderId="25" xfId="0" applyBorder="1"/>
    <xf numFmtId="0" fontId="10" fillId="0" borderId="30" xfId="0" applyFont="1" applyBorder="1"/>
    <xf numFmtId="0" fontId="10" fillId="0" borderId="24" xfId="0" applyFont="1" applyBorder="1" applyAlignment="1">
      <alignment horizontal="center"/>
    </xf>
    <xf numFmtId="0" fontId="12" fillId="0" borderId="0" xfId="3" applyFont="1" applyBorder="1" applyAlignment="1">
      <alignment vertical="center"/>
    </xf>
    <xf numFmtId="0" fontId="9" fillId="0" borderId="0" xfId="8" applyBorder="1" applyAlignment="1">
      <alignment horizontal="center" vertical="center"/>
    </xf>
    <xf numFmtId="0" fontId="4" fillId="0" borderId="0" xfId="5" applyBorder="1" applyAlignment="1">
      <alignment vertical="center"/>
    </xf>
    <xf numFmtId="0" fontId="4" fillId="0" borderId="0" xfId="5" applyBorder="1"/>
    <xf numFmtId="0" fontId="4" fillId="0" borderId="0" xfId="5" applyFont="1" applyBorder="1" applyAlignment="1">
      <alignment horizontal="center" vertical="center"/>
    </xf>
    <xf numFmtId="0" fontId="4" fillId="0" borderId="2" xfId="5" applyFont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164" fontId="28" fillId="0" borderId="3" xfId="7" applyNumberFormat="1" applyFont="1" applyFill="1"/>
    <xf numFmtId="0" fontId="12" fillId="0" borderId="0" xfId="3" applyFont="1" applyFill="1" applyAlignment="1">
      <alignment horizontal="center" vertical="center"/>
    </xf>
    <xf numFmtId="0" fontId="29" fillId="0" borderId="0" xfId="8" applyFont="1" applyBorder="1" applyAlignment="1">
      <alignment horizontal="center" vertical="center"/>
    </xf>
    <xf numFmtId="0" fontId="30" fillId="0" borderId="0" xfId="0" applyFont="1" applyBorder="1"/>
    <xf numFmtId="0" fontId="24" fillId="0" borderId="0" xfId="3" applyFont="1" applyFill="1" applyBorder="1" applyAlignment="1"/>
    <xf numFmtId="0" fontId="30" fillId="0" borderId="0" xfId="0" applyFont="1" applyFill="1" applyBorder="1"/>
    <xf numFmtId="0" fontId="4" fillId="0" borderId="0" xfId="6" applyFill="1" applyBorder="1"/>
    <xf numFmtId="0" fontId="9" fillId="0" borderId="17" xfId="8" applyFill="1" applyBorder="1" applyAlignment="1">
      <alignment horizontal="center" vertical="center"/>
    </xf>
    <xf numFmtId="0" fontId="9" fillId="0" borderId="21" xfId="8" applyFill="1" applyBorder="1" applyAlignment="1">
      <alignment horizontal="center" vertical="center"/>
    </xf>
    <xf numFmtId="0" fontId="16" fillId="0" borderId="0" xfId="18" applyFont="1" applyFill="1" applyAlignment="1">
      <alignment horizontal="center" vertical="center"/>
    </xf>
    <xf numFmtId="0" fontId="16" fillId="0" borderId="0" xfId="18" applyFont="1" applyFill="1"/>
    <xf numFmtId="164" fontId="16" fillId="0" borderId="0" xfId="18" applyNumberFormat="1" applyFont="1" applyFill="1"/>
    <xf numFmtId="0" fontId="4" fillId="0" borderId="2" xfId="5" applyFill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4" fillId="0" borderId="2" xfId="5" applyAlignment="1">
      <alignment horizontal="center" vertical="center"/>
    </xf>
    <xf numFmtId="164" fontId="16" fillId="6" borderId="17" xfId="1" applyNumberFormat="1" applyFont="1" applyFill="1" applyBorder="1" applyAlignment="1" applyProtection="1"/>
    <xf numFmtId="164" fontId="16" fillId="19" borderId="17" xfId="1" applyNumberFormat="1" applyFont="1" applyFill="1" applyBorder="1" applyAlignment="1" applyProtection="1"/>
    <xf numFmtId="0" fontId="4" fillId="0" borderId="2" xfId="5" applyFill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4" fillId="0" borderId="5" xfId="5" applyFill="1" applyBorder="1" applyAlignment="1">
      <alignment horizontal="center" vertical="center"/>
    </xf>
    <xf numFmtId="44" fontId="0" fillId="0" borderId="0" xfId="1" applyFont="1"/>
    <xf numFmtId="9" fontId="16" fillId="0" borderId="0" xfId="2" applyFont="1" applyFill="1" applyBorder="1"/>
    <xf numFmtId="0" fontId="21" fillId="0" borderId="0" xfId="15" applyFont="1" applyFill="1" applyBorder="1"/>
    <xf numFmtId="0" fontId="16" fillId="0" borderId="0" xfId="0" applyFont="1" applyFill="1" applyBorder="1" applyAlignment="1">
      <alignment horizontal="center" vertical="center"/>
    </xf>
    <xf numFmtId="0" fontId="4" fillId="0" borderId="2" xfId="5" applyFont="1" applyFill="1" applyAlignment="1">
      <alignment horizontal="left" vertical="center"/>
    </xf>
    <xf numFmtId="38" fontId="7" fillId="8" borderId="10" xfId="10" applyNumberFormat="1" applyFont="1" applyFill="1" applyBorder="1" applyAlignment="1">
      <alignment horizontal="center" vertical="center"/>
    </xf>
    <xf numFmtId="38" fontId="7" fillId="8" borderId="0" xfId="10" applyNumberFormat="1" applyFont="1" applyFill="1" applyBorder="1" applyAlignment="1">
      <alignment horizontal="center" vertical="center"/>
    </xf>
    <xf numFmtId="38" fontId="7" fillId="7" borderId="0" xfId="10" applyNumberFormat="1" applyFont="1" applyFill="1" applyBorder="1" applyAlignment="1">
      <alignment horizontal="center" vertical="center"/>
    </xf>
    <xf numFmtId="38" fontId="7" fillId="7" borderId="15" xfId="10" applyNumberFormat="1" applyFont="1" applyFill="1" applyBorder="1" applyAlignment="1">
      <alignment horizontal="center" vertical="center"/>
    </xf>
    <xf numFmtId="38" fontId="27" fillId="7" borderId="0" xfId="10" applyNumberFormat="1" applyFont="1" applyFill="1" applyBorder="1" applyAlignment="1">
      <alignment horizontal="center" vertical="center"/>
    </xf>
    <xf numFmtId="38" fontId="7" fillId="23" borderId="15" xfId="21" applyNumberFormat="1" applyFont="1" applyBorder="1" applyAlignment="1">
      <alignment horizontal="center" vertical="center"/>
    </xf>
    <xf numFmtId="38" fontId="7" fillId="25" borderId="10" xfId="2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0" fontId="19" fillId="6" borderId="0" xfId="14" applyBorder="1" applyAlignment="1">
      <alignment horizontal="center" vertical="center"/>
    </xf>
    <xf numFmtId="9" fontId="19" fillId="6" borderId="0" xfId="14" applyNumberFormat="1" applyBorder="1" applyAlignment="1">
      <alignment horizontal="center" vertical="center"/>
    </xf>
    <xf numFmtId="9" fontId="10" fillId="0" borderId="4" xfId="9" applyNumberForma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4"/>
    <xf numFmtId="164" fontId="6" fillId="3" borderId="36" xfId="7" applyNumberFormat="1" applyBorder="1"/>
    <xf numFmtId="0" fontId="10" fillId="0" borderId="4" xfId="9" applyAlignment="1">
      <alignment horizontal="center"/>
    </xf>
    <xf numFmtId="0" fontId="10" fillId="0" borderId="4" xfId="9" applyFill="1" applyAlignment="1">
      <alignment horizontal="center"/>
    </xf>
    <xf numFmtId="166" fontId="21" fillId="18" borderId="17" xfId="15" applyNumberFormat="1" applyFont="1" applyFill="1" applyBorder="1" applyAlignment="1">
      <alignment horizontal="center" vertical="center"/>
    </xf>
    <xf numFmtId="166" fontId="21" fillId="20" borderId="21" xfId="15" applyNumberFormat="1" applyFont="1" applyFill="1" applyBorder="1" applyAlignment="1">
      <alignment horizontal="center" vertical="center"/>
    </xf>
    <xf numFmtId="38" fontId="7" fillId="25" borderId="11" xfId="21" applyNumberFormat="1" applyFont="1" applyFill="1" applyBorder="1" applyAlignment="1">
      <alignment horizontal="center" vertical="center"/>
    </xf>
    <xf numFmtId="38" fontId="7" fillId="23" borderId="12" xfId="21" applyNumberFormat="1" applyFont="1" applyBorder="1" applyAlignment="1">
      <alignment horizontal="center" vertical="center"/>
    </xf>
    <xf numFmtId="38" fontId="7" fillId="25" borderId="0" xfId="21" applyNumberFormat="1" applyFont="1" applyFill="1" applyBorder="1" applyAlignment="1">
      <alignment horizontal="center" vertical="center"/>
    </xf>
    <xf numFmtId="38" fontId="7" fillId="23" borderId="0" xfId="21" applyNumberFormat="1" applyFont="1" applyBorder="1" applyAlignment="1">
      <alignment horizontal="center" vertical="center"/>
    </xf>
    <xf numFmtId="0" fontId="17" fillId="6" borderId="37" xfId="7" applyFont="1" applyFill="1" applyBorder="1" applyAlignment="1">
      <alignment horizontal="center" vertical="center"/>
    </xf>
    <xf numFmtId="0" fontId="32" fillId="0" borderId="33" xfId="20" applyFill="1" applyAlignment="1">
      <alignment horizontal="center" vertical="center"/>
    </xf>
    <xf numFmtId="38" fontId="26" fillId="8" borderId="0" xfId="10" applyNumberFormat="1" applyFont="1" applyFill="1" applyBorder="1" applyAlignment="1">
      <alignment horizontal="center" vertical="center"/>
    </xf>
    <xf numFmtId="0" fontId="3" fillId="0" borderId="1" xfId="4" applyAlignment="1">
      <alignment vertical="center"/>
    </xf>
    <xf numFmtId="166" fontId="19" fillId="6" borderId="0" xfId="14" applyNumberFormat="1" applyBorder="1" applyAlignment="1">
      <alignment horizontal="center" vertical="center"/>
    </xf>
    <xf numFmtId="166" fontId="10" fillId="0" borderId="4" xfId="9" applyNumberForma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4" fillId="0" borderId="2" xfId="5" applyNumberFormat="1" applyAlignment="1">
      <alignment horizontal="center" vertical="center"/>
    </xf>
    <xf numFmtId="166" fontId="13" fillId="11" borderId="0" xfId="15" applyNumberFormat="1" applyAlignment="1">
      <alignment horizontal="center" vertical="center"/>
    </xf>
    <xf numFmtId="166" fontId="10" fillId="0" borderId="4" xfId="9" applyNumberForma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166" fontId="4" fillId="0" borderId="2" xfId="2" applyNumberFormat="1" applyFont="1" applyFill="1" applyBorder="1" applyAlignment="1">
      <alignment horizontal="center" vertical="center"/>
    </xf>
    <xf numFmtId="166" fontId="4" fillId="0" borderId="2" xfId="5" applyNumberFormat="1" applyFill="1" applyAlignment="1">
      <alignment horizontal="center" vertical="center"/>
    </xf>
    <xf numFmtId="166" fontId="4" fillId="0" borderId="2" xfId="2" applyNumberFormat="1" applyFont="1" applyBorder="1" applyAlignment="1">
      <alignment horizontal="center" vertical="center"/>
    </xf>
    <xf numFmtId="164" fontId="16" fillId="12" borderId="17" xfId="1" applyNumberFormat="1" applyFont="1" applyFill="1" applyBorder="1" applyAlignment="1" applyProtection="1"/>
    <xf numFmtId="0" fontId="17" fillId="6" borderId="6" xfId="13" applyFont="1" applyFill="1" applyBorder="1">
      <alignment horizontal="center"/>
    </xf>
    <xf numFmtId="0" fontId="17" fillId="17" borderId="6" xfId="13" applyFont="1" applyFill="1" applyBorder="1">
      <alignment horizontal="center"/>
    </xf>
    <xf numFmtId="0" fontId="17" fillId="16" borderId="6" xfId="13" applyFont="1" applyFill="1" applyBorder="1">
      <alignment horizontal="center"/>
    </xf>
    <xf numFmtId="0" fontId="17" fillId="15" borderId="6" xfId="13" applyFont="1" applyFill="1" applyBorder="1">
      <alignment horizontal="center"/>
    </xf>
    <xf numFmtId="0" fontId="17" fillId="14" borderId="6" xfId="13" applyFont="1" applyFill="1" applyBorder="1">
      <alignment horizontal="center"/>
    </xf>
    <xf numFmtId="0" fontId="17" fillId="21" borderId="6" xfId="13" applyFont="1" applyFill="1" applyBorder="1">
      <alignment horizontal="center"/>
    </xf>
    <xf numFmtId="0" fontId="17" fillId="22" borderId="6" xfId="13" applyFont="1" applyFill="1" applyBorder="1">
      <alignment horizontal="center"/>
    </xf>
    <xf numFmtId="0" fontId="9" fillId="0" borderId="0" xfId="8" applyFont="1" applyAlignment="1">
      <alignment horizontal="left" vertical="center"/>
    </xf>
    <xf numFmtId="17" fontId="7" fillId="5" borderId="2" xfId="10" applyNumberFormat="1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38" fontId="7" fillId="8" borderId="2" xfId="10" applyNumberFormat="1" applyFont="1" applyFill="1" applyBorder="1" applyAlignment="1">
      <alignment horizontal="center" vertical="center"/>
    </xf>
    <xf numFmtId="38" fontId="7" fillId="7" borderId="2" xfId="10" applyNumberFormat="1" applyFont="1" applyFill="1" applyBorder="1" applyAlignment="1">
      <alignment horizontal="center" vertical="center"/>
    </xf>
    <xf numFmtId="0" fontId="20" fillId="0" borderId="0" xfId="8" applyFont="1" applyAlignment="1">
      <alignment horizontal="left" vertical="center"/>
    </xf>
    <xf numFmtId="0" fontId="4" fillId="0" borderId="0" xfId="6" applyFont="1" applyFill="1"/>
    <xf numFmtId="38" fontId="7" fillId="0" borderId="0" xfId="10" applyNumberFormat="1" applyFont="1" applyFill="1" applyBorder="1" applyAlignment="1">
      <alignment horizontal="center" vertical="center"/>
    </xf>
    <xf numFmtId="38" fontId="26" fillId="8" borderId="2" xfId="10" applyNumberFormat="1" applyFont="1" applyFill="1" applyBorder="1" applyAlignment="1">
      <alignment horizontal="center" vertical="center"/>
    </xf>
    <xf numFmtId="38" fontId="7" fillId="8" borderId="11" xfId="10" applyNumberFormat="1" applyFont="1" applyFill="1" applyBorder="1" applyAlignment="1">
      <alignment horizontal="center" vertical="center"/>
    </xf>
    <xf numFmtId="38" fontId="7" fillId="7" borderId="12" xfId="10" applyNumberFormat="1" applyFont="1" applyFill="1" applyBorder="1" applyAlignment="1">
      <alignment horizontal="center" vertical="center"/>
    </xf>
    <xf numFmtId="38" fontId="27" fillId="7" borderId="2" xfId="10" applyNumberFormat="1" applyFont="1" applyFill="1" applyBorder="1" applyAlignment="1">
      <alignment horizontal="center" vertical="center"/>
    </xf>
    <xf numFmtId="38" fontId="7" fillId="5" borderId="2" xfId="10" applyNumberFormat="1" applyFont="1" applyBorder="1" applyAlignment="1">
      <alignment horizontal="center" vertical="center"/>
    </xf>
    <xf numFmtId="38" fontId="7" fillId="13" borderId="2" xfId="19" applyNumberFormat="1" applyFont="1" applyBorder="1" applyAlignment="1">
      <alignment horizontal="center" vertical="center"/>
    </xf>
    <xf numFmtId="10" fontId="4" fillId="0" borderId="0" xfId="6" applyNumberFormat="1" applyFill="1" applyBorder="1" applyAlignment="1">
      <alignment horizontal="center" vertical="center"/>
    </xf>
    <xf numFmtId="166" fontId="19" fillId="6" borderId="0" xfId="14" applyNumberFormat="1" applyBorder="1" applyAlignment="1">
      <alignment horizontal="center"/>
    </xf>
    <xf numFmtId="166" fontId="13" fillId="11" borderId="0" xfId="15" applyNumberFormat="1" applyAlignment="1">
      <alignment horizontal="center"/>
    </xf>
    <xf numFmtId="166" fontId="10" fillId="0" borderId="4" xfId="9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2" xfId="5" applyNumberFormat="1" applyAlignment="1">
      <alignment horizontal="center"/>
    </xf>
    <xf numFmtId="166" fontId="25" fillId="11" borderId="0" xfId="15" applyNumberFormat="1" applyFont="1" applyAlignment="1">
      <alignment horizontal="center"/>
    </xf>
    <xf numFmtId="0" fontId="13" fillId="11" borderId="0" xfId="15" applyAlignment="1">
      <alignment horizontal="center" vertical="center"/>
    </xf>
    <xf numFmtId="9" fontId="10" fillId="0" borderId="4" xfId="9" applyNumberFormat="1" applyFill="1" applyAlignment="1">
      <alignment horizontal="center" vertical="center"/>
    </xf>
    <xf numFmtId="0" fontId="4" fillId="0" borderId="2" xfId="5" applyFont="1"/>
    <xf numFmtId="38" fontId="7" fillId="25" borderId="2" xfId="21" applyNumberFormat="1" applyFont="1" applyFill="1" applyBorder="1" applyAlignment="1">
      <alignment horizontal="center" vertical="center"/>
    </xf>
    <xf numFmtId="38" fontId="7" fillId="23" borderId="2" xfId="21" applyNumberFormat="1" applyFont="1" applyBorder="1" applyAlignment="1">
      <alignment horizontal="center" vertical="center"/>
    </xf>
    <xf numFmtId="38" fontId="7" fillId="0" borderId="0" xfId="19" applyNumberFormat="1" applyFont="1" applyFill="1" applyBorder="1" applyAlignment="1">
      <alignment horizontal="center" vertical="center"/>
    </xf>
    <xf numFmtId="38" fontId="26" fillId="8" borderId="10" xfId="10" applyNumberFormat="1" applyFont="1" applyFill="1" applyBorder="1" applyAlignment="1">
      <alignment horizontal="center" vertical="center"/>
    </xf>
    <xf numFmtId="166" fontId="21" fillId="18" borderId="16" xfId="15" applyNumberFormat="1" applyFont="1" applyFill="1" applyBorder="1"/>
    <xf numFmtId="166" fontId="21" fillId="20" borderId="16" xfId="15" applyNumberFormat="1" applyFont="1" applyFill="1" applyBorder="1"/>
    <xf numFmtId="166" fontId="21" fillId="18" borderId="16" xfId="15" applyNumberFormat="1" applyFont="1" applyFill="1" applyBorder="1" applyAlignment="1">
      <alignment horizontal="center" vertical="center"/>
    </xf>
    <xf numFmtId="166" fontId="21" fillId="20" borderId="34" xfId="15" applyNumberFormat="1" applyFont="1" applyFill="1" applyBorder="1" applyAlignment="1">
      <alignment horizontal="center" vertical="center"/>
    </xf>
    <xf numFmtId="166" fontId="21" fillId="20" borderId="35" xfId="15" applyNumberFormat="1" applyFont="1" applyFill="1" applyBorder="1" applyAlignment="1">
      <alignment horizontal="center" vertical="center"/>
    </xf>
    <xf numFmtId="0" fontId="17" fillId="6" borderId="42" xfId="7" applyFont="1" applyFill="1" applyBorder="1" applyAlignment="1">
      <alignment horizontal="center" vertical="center"/>
    </xf>
    <xf numFmtId="0" fontId="17" fillId="6" borderId="43" xfId="7" applyFont="1" applyFill="1" applyBorder="1" applyAlignment="1">
      <alignment horizontal="center" vertical="center"/>
    </xf>
    <xf numFmtId="0" fontId="17" fillId="19" borderId="43" xfId="7" applyFont="1" applyFill="1" applyBorder="1" applyAlignment="1">
      <alignment horizontal="center" vertical="center"/>
    </xf>
    <xf numFmtId="166" fontId="21" fillId="26" borderId="17" xfId="15" applyNumberFormat="1" applyFont="1" applyFill="1" applyBorder="1" applyAlignment="1">
      <alignment horizontal="center" vertical="center"/>
    </xf>
    <xf numFmtId="166" fontId="21" fillId="26" borderId="16" xfId="15" applyNumberFormat="1" applyFont="1" applyFill="1" applyBorder="1"/>
    <xf numFmtId="166" fontId="21" fillId="26" borderId="16" xfId="15" applyNumberFormat="1" applyFont="1" applyFill="1" applyBorder="1" applyAlignment="1">
      <alignment horizontal="center" vertical="center"/>
    </xf>
    <xf numFmtId="166" fontId="21" fillId="26" borderId="18" xfId="15" applyNumberFormat="1" applyFont="1" applyFill="1" applyBorder="1" applyAlignment="1">
      <alignment horizontal="center" vertical="center"/>
    </xf>
    <xf numFmtId="0" fontId="17" fillId="12" borderId="3" xfId="7" applyFont="1" applyFill="1" applyAlignment="1">
      <alignment horizontal="center" vertical="center"/>
    </xf>
    <xf numFmtId="0" fontId="17" fillId="12" borderId="43" xfId="7" applyFont="1" applyFill="1" applyBorder="1" applyAlignment="1">
      <alignment horizontal="center" vertical="center"/>
    </xf>
    <xf numFmtId="38" fontId="34" fillId="8" borderId="45" xfId="5" applyNumberFormat="1" applyFont="1" applyFill="1" applyBorder="1" applyAlignment="1">
      <alignment horizontal="center" vertical="center"/>
    </xf>
    <xf numFmtId="38" fontId="34" fillId="8" borderId="2" xfId="5" applyNumberFormat="1" applyFont="1" applyFill="1" applyBorder="1" applyAlignment="1">
      <alignment horizontal="center" vertical="center"/>
    </xf>
    <xf numFmtId="38" fontId="34" fillId="7" borderId="2" xfId="5" applyNumberFormat="1" applyFont="1" applyFill="1" applyBorder="1" applyAlignment="1">
      <alignment horizontal="center" vertical="center"/>
    </xf>
    <xf numFmtId="38" fontId="34" fillId="7" borderId="46" xfId="5" applyNumberFormat="1" applyFont="1" applyFill="1" applyBorder="1" applyAlignment="1">
      <alignment horizontal="center" vertical="center"/>
    </xf>
    <xf numFmtId="38" fontId="34" fillId="25" borderId="45" xfId="5" applyNumberFormat="1" applyFont="1" applyFill="1" applyBorder="1" applyAlignment="1">
      <alignment horizontal="center" vertical="center"/>
    </xf>
    <xf numFmtId="38" fontId="34" fillId="23" borderId="46" xfId="5" applyNumberFormat="1" applyFont="1" applyFill="1" applyBorder="1" applyAlignment="1">
      <alignment horizontal="center" vertical="center"/>
    </xf>
    <xf numFmtId="0" fontId="17" fillId="0" borderId="17" xfId="0" applyFont="1" applyFill="1" applyBorder="1"/>
    <xf numFmtId="0" fontId="17" fillId="0" borderId="21" xfId="0" applyFont="1" applyFill="1" applyBorder="1"/>
    <xf numFmtId="164" fontId="1" fillId="6" borderId="17" xfId="1" applyNumberFormat="1" applyFont="1" applyFill="1" applyBorder="1" applyAlignment="1"/>
    <xf numFmtId="164" fontId="1" fillId="19" borderId="17" xfId="1" applyNumberFormat="1" applyFont="1" applyFill="1" applyBorder="1" applyAlignment="1"/>
    <xf numFmtId="164" fontId="1" fillId="12" borderId="17" xfId="1" applyNumberFormat="1" applyFont="1" applyFill="1" applyBorder="1" applyAlignment="1"/>
    <xf numFmtId="0" fontId="9" fillId="0" borderId="0" xfId="8"/>
    <xf numFmtId="0" fontId="9" fillId="0" borderId="2" xfId="8" applyFill="1" applyBorder="1"/>
    <xf numFmtId="0" fontId="9" fillId="0" borderId="4" xfId="8" applyBorder="1"/>
    <xf numFmtId="0" fontId="9" fillId="0" borderId="2" xfId="8" applyBorder="1"/>
    <xf numFmtId="164" fontId="9" fillId="0" borderId="4" xfId="8" applyNumberFormat="1" applyBorder="1"/>
    <xf numFmtId="164" fontId="9" fillId="3" borderId="58" xfId="8" applyNumberFormat="1" applyFill="1" applyBorder="1"/>
    <xf numFmtId="164" fontId="9" fillId="3" borderId="59" xfId="8" applyNumberFormat="1" applyFill="1" applyBorder="1"/>
    <xf numFmtId="164" fontId="9" fillId="3" borderId="60" xfId="8" applyNumberFormat="1" applyFill="1" applyBorder="1"/>
    <xf numFmtId="0" fontId="9" fillId="0" borderId="0" xfId="8" applyBorder="1"/>
    <xf numFmtId="0" fontId="22" fillId="0" borderId="0" xfId="16"/>
    <xf numFmtId="166" fontId="13" fillId="11" borderId="17" xfId="15" applyNumberFormat="1" applyBorder="1"/>
    <xf numFmtId="166" fontId="0" fillId="0" borderId="0" xfId="2" applyNumberFormat="1" applyFont="1" applyFill="1" applyBorder="1" applyAlignment="1">
      <alignment horizontal="center" vertical="center"/>
    </xf>
    <xf numFmtId="166" fontId="13" fillId="11" borderId="47" xfId="15" applyNumberFormat="1" applyBorder="1"/>
    <xf numFmtId="166" fontId="0" fillId="0" borderId="0" xfId="0" applyNumberFormat="1" applyFill="1" applyBorder="1"/>
    <xf numFmtId="166" fontId="13" fillId="11" borderId="48" xfId="15" applyNumberFormat="1" applyBorder="1"/>
    <xf numFmtId="166" fontId="13" fillId="11" borderId="50" xfId="15" applyNumberFormat="1" applyBorder="1"/>
    <xf numFmtId="166" fontId="13" fillId="11" borderId="21" xfId="15" applyNumberFormat="1" applyBorder="1"/>
    <xf numFmtId="166" fontId="13" fillId="11" borderId="51" xfId="15" applyNumberFormat="1" applyBorder="1"/>
    <xf numFmtId="166" fontId="13" fillId="11" borderId="49" xfId="15" applyNumberFormat="1" applyBorder="1"/>
    <xf numFmtId="166" fontId="13" fillId="11" borderId="0" xfId="15" applyNumberFormat="1" applyBorder="1"/>
    <xf numFmtId="166" fontId="13" fillId="11" borderId="21" xfId="15" applyNumberFormat="1" applyBorder="1" applyAlignment="1">
      <alignment horizontal="center"/>
    </xf>
    <xf numFmtId="166" fontId="13" fillId="11" borderId="51" xfId="15" applyNumberFormat="1" applyBorder="1" applyAlignment="1">
      <alignment horizontal="center"/>
    </xf>
    <xf numFmtId="166" fontId="13" fillId="11" borderId="52" xfId="15" applyNumberFormat="1" applyBorder="1"/>
    <xf numFmtId="166" fontId="13" fillId="11" borderId="53" xfId="15" applyNumberFormat="1" applyBorder="1"/>
    <xf numFmtId="166" fontId="13" fillId="11" borderId="54" xfId="15" applyNumberFormat="1" applyBorder="1"/>
    <xf numFmtId="166" fontId="13" fillId="11" borderId="55" xfId="15" applyNumberFormat="1" applyBorder="1"/>
    <xf numFmtId="166" fontId="10" fillId="0" borderId="44" xfId="9" applyNumberFormat="1" applyBorder="1" applyAlignment="1">
      <alignment horizontal="center"/>
    </xf>
    <xf numFmtId="166" fontId="10" fillId="0" borderId="4" xfId="9" applyNumberFormat="1" applyFill="1" applyAlignment="1">
      <alignment horizontal="center"/>
    </xf>
    <xf numFmtId="166" fontId="10" fillId="0" borderId="44" xfId="9" applyNumberFormat="1" applyBorder="1" applyAlignment="1">
      <alignment horizontal="center" vertical="center"/>
    </xf>
    <xf numFmtId="166" fontId="17" fillId="0" borderId="4" xfId="9" applyNumberFormat="1" applyFont="1" applyFill="1" applyAlignment="1">
      <alignment horizontal="center" vertical="center"/>
    </xf>
    <xf numFmtId="166" fontId="17" fillId="0" borderId="4" xfId="9" applyNumberFormat="1" applyFont="1" applyAlignment="1">
      <alignment horizontal="center" vertical="center"/>
    </xf>
    <xf numFmtId="166" fontId="10" fillId="0" borderId="4" xfId="2" applyNumberFormat="1" applyFont="1" applyBorder="1" applyAlignment="1">
      <alignment horizontal="center" vertical="center"/>
    </xf>
    <xf numFmtId="10" fontId="9" fillId="0" borderId="0" xfId="8" applyNumberFormat="1" applyAlignment="1">
      <alignment horizontal="right"/>
    </xf>
    <xf numFmtId="0" fontId="0" fillId="0" borderId="61" xfId="0" applyBorder="1"/>
    <xf numFmtId="0" fontId="0" fillId="28" borderId="0" xfId="0" applyFill="1" applyBorder="1"/>
    <xf numFmtId="0" fontId="0" fillId="28" borderId="0" xfId="0" applyFill="1"/>
    <xf numFmtId="0" fontId="10" fillId="28" borderId="0" xfId="0" applyFont="1" applyFill="1"/>
    <xf numFmtId="164" fontId="10" fillId="28" borderId="4" xfId="9" applyNumberFormat="1" applyFill="1"/>
    <xf numFmtId="0" fontId="0" fillId="28" borderId="0" xfId="0" applyFill="1" applyAlignment="1">
      <alignment horizontal="center"/>
    </xf>
    <xf numFmtId="0" fontId="0" fillId="28" borderId="0" xfId="0" applyFill="1" applyAlignment="1"/>
    <xf numFmtId="0" fontId="10" fillId="28" borderId="4" xfId="9" applyFill="1"/>
    <xf numFmtId="0" fontId="3" fillId="28" borderId="0" xfId="4" applyFill="1" applyBorder="1"/>
    <xf numFmtId="38" fontId="7" fillId="28" borderId="0" xfId="10" applyNumberFormat="1" applyFont="1" applyFill="1" applyBorder="1" applyAlignment="1">
      <alignment horizontal="center" vertical="center"/>
    </xf>
    <xf numFmtId="0" fontId="4" fillId="28" borderId="2" xfId="5" applyFill="1" applyAlignment="1">
      <alignment horizontal="center" vertical="center"/>
    </xf>
    <xf numFmtId="10" fontId="16" fillId="28" borderId="0" xfId="14" applyFont="1" applyFill="1" applyBorder="1"/>
    <xf numFmtId="0" fontId="16" fillId="28" borderId="0" xfId="0" applyFont="1" applyFill="1" applyBorder="1"/>
    <xf numFmtId="10" fontId="17" fillId="28" borderId="0" xfId="9" applyNumberFormat="1" applyFont="1" applyFill="1" applyBorder="1"/>
    <xf numFmtId="0" fontId="4" fillId="28" borderId="2" xfId="5" applyFill="1"/>
    <xf numFmtId="0" fontId="8" fillId="28" borderId="0" xfId="0" applyFont="1" applyFill="1" applyBorder="1"/>
    <xf numFmtId="49" fontId="10" fillId="28" borderId="4" xfId="9" applyNumberFormat="1" applyFill="1" applyAlignment="1">
      <alignment horizontal="right"/>
    </xf>
    <xf numFmtId="0" fontId="10" fillId="28" borderId="4" xfId="9" applyFill="1" applyAlignment="1">
      <alignment horizontal="right"/>
    </xf>
    <xf numFmtId="0" fontId="4" fillId="28" borderId="0" xfId="6" applyFont="1" applyFill="1" applyAlignment="1">
      <alignment horizontal="center" vertical="center"/>
    </xf>
    <xf numFmtId="0" fontId="16" fillId="28" borderId="0" xfId="0" applyFont="1" applyFill="1"/>
    <xf numFmtId="0" fontId="8" fillId="28" borderId="0" xfId="0" applyFont="1" applyFill="1"/>
    <xf numFmtId="44" fontId="10" fillId="28" borderId="4" xfId="9" applyNumberFormat="1" applyFill="1"/>
    <xf numFmtId="0" fontId="37" fillId="0" borderId="0" xfId="6" applyFont="1" applyFill="1" applyBorder="1" applyAlignment="1">
      <alignment horizontal="center" vertical="center"/>
    </xf>
    <xf numFmtId="38" fontId="7" fillId="5" borderId="35" xfId="10" applyNumberFormat="1" applyFont="1" applyBorder="1" applyAlignment="1">
      <alignment horizontal="center" vertical="center"/>
    </xf>
    <xf numFmtId="0" fontId="4" fillId="0" borderId="2" xfId="5" applyFill="1" applyBorder="1" applyAlignment="1">
      <alignment horizontal="left" vertical="center"/>
    </xf>
    <xf numFmtId="0" fontId="9" fillId="0" borderId="0" xfId="8" applyFont="1" applyBorder="1" applyAlignment="1">
      <alignment horizontal="left" vertical="center"/>
    </xf>
    <xf numFmtId="0" fontId="37" fillId="0" borderId="0" xfId="6" applyFont="1" applyFill="1" applyBorder="1"/>
    <xf numFmtId="0" fontId="8" fillId="0" borderId="0" xfId="0" applyFont="1" applyBorder="1"/>
    <xf numFmtId="164" fontId="10" fillId="0" borderId="62" xfId="1" applyNumberFormat="1" applyFont="1" applyFill="1" applyBorder="1"/>
    <xf numFmtId="0" fontId="9" fillId="0" borderId="0" xfId="8" applyBorder="1" applyAlignment="1">
      <alignment horizontal="right"/>
    </xf>
    <xf numFmtId="164" fontId="10" fillId="0" borderId="62" xfId="9" applyNumberFormat="1" applyFill="1" applyBorder="1"/>
    <xf numFmtId="0" fontId="0" fillId="0" borderId="63" xfId="0" applyBorder="1"/>
    <xf numFmtId="0" fontId="10" fillId="28" borderId="0" xfId="0" applyFont="1" applyFill="1" applyBorder="1"/>
    <xf numFmtId="10" fontId="10" fillId="28" borderId="4" xfId="9" applyNumberFormat="1" applyFill="1" applyBorder="1"/>
    <xf numFmtId="164" fontId="10" fillId="28" borderId="4" xfId="9" applyNumberFormat="1" applyFill="1" applyBorder="1"/>
    <xf numFmtId="0" fontId="0" fillId="28" borderId="0" xfId="0" applyFill="1" applyBorder="1" applyAlignment="1">
      <alignment horizontal="center"/>
    </xf>
    <xf numFmtId="0" fontId="4" fillId="28" borderId="2" xfId="5" applyFill="1" applyBorder="1"/>
    <xf numFmtId="164" fontId="10" fillId="28" borderId="4" xfId="9" applyNumberFormat="1" applyFont="1" applyFill="1" applyBorder="1"/>
    <xf numFmtId="164" fontId="10" fillId="28" borderId="4" xfId="1" applyNumberFormat="1" applyFont="1" applyFill="1" applyBorder="1"/>
    <xf numFmtId="0" fontId="4" fillId="28" borderId="0" xfId="6" applyFont="1" applyFill="1" applyBorder="1" applyAlignment="1">
      <alignment horizontal="center" vertical="center"/>
    </xf>
    <xf numFmtId="0" fontId="4" fillId="28" borderId="0" xfId="5" applyFill="1" applyBorder="1"/>
    <xf numFmtId="0" fontId="10" fillId="28" borderId="0" xfId="9" applyFill="1" applyBorder="1"/>
    <xf numFmtId="0" fontId="4" fillId="28" borderId="2" xfId="5" applyFill="1" applyBorder="1" applyAlignment="1">
      <alignment horizontal="center" vertical="center"/>
    </xf>
    <xf numFmtId="0" fontId="0" fillId="28" borderId="61" xfId="0" applyFill="1" applyBorder="1"/>
    <xf numFmtId="164" fontId="6" fillId="0" borderId="3" xfId="7" applyNumberFormat="1" applyFill="1"/>
    <xf numFmtId="38" fontId="11" fillId="28" borderId="0" xfId="10" applyNumberFormat="1" applyFill="1" applyBorder="1" applyAlignment="1">
      <alignment horizontal="center" vertical="center"/>
    </xf>
    <xf numFmtId="0" fontId="4" fillId="28" borderId="0" xfId="6" applyFill="1" applyAlignment="1">
      <alignment horizontal="center" vertical="center"/>
    </xf>
    <xf numFmtId="9" fontId="10" fillId="28" borderId="4" xfId="9" applyNumberFormat="1" applyFill="1"/>
    <xf numFmtId="9" fontId="10" fillId="28" borderId="0" xfId="9" applyNumberFormat="1" applyFill="1" applyBorder="1"/>
    <xf numFmtId="164" fontId="0" fillId="28" borderId="0" xfId="0" applyNumberFormat="1" applyFill="1" applyBorder="1"/>
    <xf numFmtId="0" fontId="18" fillId="0" borderId="6" xfId="13" applyFont="1" applyFill="1" applyBorder="1">
      <alignment horizontal="center"/>
    </xf>
    <xf numFmtId="164" fontId="8" fillId="0" borderId="17" xfId="1" applyNumberFormat="1" applyFont="1" applyFill="1" applyBorder="1" applyAlignment="1"/>
    <xf numFmtId="164" fontId="8" fillId="0" borderId="17" xfId="1" applyNumberFormat="1" applyFont="1" applyFill="1" applyBorder="1" applyAlignment="1" applyProtection="1"/>
    <xf numFmtId="164" fontId="16" fillId="0" borderId="17" xfId="1" applyNumberFormat="1" applyFont="1" applyFill="1" applyBorder="1" applyAlignment="1" applyProtection="1"/>
    <xf numFmtId="0" fontId="17" fillId="0" borderId="3" xfId="7" applyFont="1" applyFill="1" applyAlignment="1">
      <alignment horizontal="center" vertical="center"/>
    </xf>
    <xf numFmtId="0" fontId="17" fillId="0" borderId="43" xfId="7" applyFont="1" applyFill="1" applyBorder="1" applyAlignment="1">
      <alignment horizontal="center" vertical="center"/>
    </xf>
    <xf numFmtId="0" fontId="17" fillId="0" borderId="6" xfId="13" applyFont="1" applyFill="1" applyBorder="1">
      <alignment horizontal="center"/>
    </xf>
    <xf numFmtId="164" fontId="1" fillId="0" borderId="17" xfId="1" applyNumberFormat="1" applyFont="1" applyFill="1" applyBorder="1" applyAlignment="1"/>
    <xf numFmtId="166" fontId="21" fillId="0" borderId="16" xfId="15" applyNumberFormat="1" applyFont="1" applyFill="1" applyBorder="1" applyAlignment="1">
      <alignment horizontal="center" vertical="center"/>
    </xf>
    <xf numFmtId="166" fontId="21" fillId="0" borderId="17" xfId="15" applyNumberFormat="1" applyFont="1" applyFill="1" applyBorder="1" applyAlignment="1">
      <alignment horizontal="center" vertical="center"/>
    </xf>
    <xf numFmtId="166" fontId="21" fillId="0" borderId="18" xfId="15" applyNumberFormat="1" applyFont="1" applyFill="1" applyBorder="1" applyAlignment="1">
      <alignment horizontal="center" vertical="center"/>
    </xf>
    <xf numFmtId="166" fontId="21" fillId="0" borderId="16" xfId="15" applyNumberFormat="1" applyFont="1" applyFill="1" applyBorder="1"/>
    <xf numFmtId="166" fontId="16" fillId="0" borderId="17" xfId="14" applyNumberFormat="1" applyFont="1" applyFill="1" applyBorder="1" applyAlignment="1">
      <alignment horizontal="center" vertical="center"/>
    </xf>
    <xf numFmtId="166" fontId="16" fillId="0" borderId="18" xfId="14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1" fillId="29" borderId="17" xfId="1" applyNumberFormat="1" applyFont="1" applyFill="1" applyBorder="1" applyAlignment="1"/>
    <xf numFmtId="164" fontId="16" fillId="29" borderId="17" xfId="1" applyNumberFormat="1" applyFont="1" applyFill="1" applyBorder="1" applyAlignment="1" applyProtection="1"/>
    <xf numFmtId="166" fontId="21" fillId="30" borderId="16" xfId="15" applyNumberFormat="1" applyFont="1" applyFill="1" applyBorder="1" applyAlignment="1">
      <alignment horizontal="center" vertical="center"/>
    </xf>
    <xf numFmtId="166" fontId="21" fillId="30" borderId="17" xfId="15" applyNumberFormat="1" applyFont="1" applyFill="1" applyBorder="1" applyAlignment="1">
      <alignment horizontal="center" vertical="center"/>
    </xf>
    <xf numFmtId="166" fontId="21" fillId="30" borderId="18" xfId="15" applyNumberFormat="1" applyFont="1" applyFill="1" applyBorder="1" applyAlignment="1">
      <alignment horizontal="center" vertical="center"/>
    </xf>
    <xf numFmtId="166" fontId="21" fillId="30" borderId="16" xfId="15" applyNumberFormat="1" applyFont="1" applyFill="1" applyBorder="1"/>
    <xf numFmtId="166" fontId="16" fillId="29" borderId="17" xfId="14" applyNumberFormat="1" applyFont="1" applyFill="1" applyBorder="1" applyAlignment="1">
      <alignment horizontal="center" vertical="center"/>
    </xf>
    <xf numFmtId="166" fontId="16" fillId="29" borderId="18" xfId="14" applyNumberFormat="1" applyFont="1" applyFill="1" applyBorder="1" applyAlignment="1">
      <alignment horizontal="center" vertical="center"/>
    </xf>
    <xf numFmtId="0" fontId="17" fillId="29" borderId="3" xfId="7" applyFont="1" applyFill="1" applyAlignment="1">
      <alignment horizontal="center" vertical="center"/>
    </xf>
    <xf numFmtId="0" fontId="17" fillId="29" borderId="43" xfId="7" applyFont="1" applyFill="1" applyBorder="1" applyAlignment="1">
      <alignment horizontal="center" vertical="center"/>
    </xf>
    <xf numFmtId="164" fontId="28" fillId="9" borderId="3" xfId="7" applyNumberFormat="1" applyFont="1" applyFill="1"/>
    <xf numFmtId="164" fontId="28" fillId="9" borderId="26" xfId="7" applyNumberFormat="1" applyFont="1" applyFill="1" applyBorder="1"/>
    <xf numFmtId="164" fontId="28" fillId="9" borderId="23" xfId="7" applyNumberFormat="1" applyFont="1" applyFill="1" applyBorder="1"/>
    <xf numFmtId="164" fontId="28" fillId="9" borderId="22" xfId="7" applyNumberFormat="1" applyFont="1" applyFill="1" applyBorder="1"/>
    <xf numFmtId="164" fontId="28" fillId="0" borderId="26" xfId="7" applyNumberFormat="1" applyFont="1" applyFill="1" applyBorder="1"/>
    <xf numFmtId="164" fontId="28" fillId="0" borderId="23" xfId="7" applyNumberFormat="1" applyFont="1" applyFill="1" applyBorder="1"/>
    <xf numFmtId="164" fontId="28" fillId="0" borderId="27" xfId="7" applyNumberFormat="1" applyFont="1" applyFill="1" applyBorder="1"/>
    <xf numFmtId="164" fontId="17" fillId="6" borderId="17" xfId="1" applyNumberFormat="1" applyFont="1" applyFill="1" applyBorder="1"/>
    <xf numFmtId="166" fontId="16" fillId="6" borderId="17" xfId="2" applyNumberFormat="1" applyFont="1" applyFill="1" applyBorder="1" applyAlignment="1">
      <alignment horizontal="center" vertical="center"/>
    </xf>
    <xf numFmtId="0" fontId="17" fillId="6" borderId="38" xfId="6" applyFont="1" applyFill="1" applyBorder="1" applyAlignment="1">
      <alignment horizontal="center" vertical="center"/>
    </xf>
    <xf numFmtId="164" fontId="17" fillId="0" borderId="17" xfId="1" applyNumberFormat="1" applyFont="1" applyFill="1" applyBorder="1"/>
    <xf numFmtId="166" fontId="16" fillId="0" borderId="17" xfId="2" applyNumberFormat="1" applyFont="1" applyFill="1" applyBorder="1" applyAlignment="1">
      <alignment horizontal="center" vertical="center"/>
    </xf>
    <xf numFmtId="0" fontId="17" fillId="0" borderId="38" xfId="6" applyFont="1" applyFill="1" applyBorder="1" applyAlignment="1">
      <alignment horizontal="center" vertical="center"/>
    </xf>
    <xf numFmtId="164" fontId="17" fillId="19" borderId="17" xfId="1" applyNumberFormat="1" applyFont="1" applyFill="1" applyBorder="1"/>
    <xf numFmtId="166" fontId="16" fillId="19" borderId="17" xfId="2" applyNumberFormat="1" applyFont="1" applyFill="1" applyBorder="1" applyAlignment="1">
      <alignment horizontal="center" vertical="center"/>
    </xf>
    <xf numFmtId="0" fontId="17" fillId="19" borderId="38" xfId="6" applyFont="1" applyFill="1" applyBorder="1" applyAlignment="1">
      <alignment horizontal="center" vertical="center"/>
    </xf>
    <xf numFmtId="164" fontId="17" fillId="29" borderId="17" xfId="1" applyNumberFormat="1" applyFont="1" applyFill="1" applyBorder="1"/>
    <xf numFmtId="166" fontId="16" fillId="29" borderId="17" xfId="2" applyNumberFormat="1" applyFont="1" applyFill="1" applyBorder="1" applyAlignment="1">
      <alignment horizontal="center" vertical="center"/>
    </xf>
    <xf numFmtId="0" fontId="17" fillId="29" borderId="38" xfId="6" applyFont="1" applyFill="1" applyBorder="1" applyAlignment="1">
      <alignment horizontal="center" vertical="center"/>
    </xf>
    <xf numFmtId="164" fontId="17" fillId="12" borderId="17" xfId="1" applyNumberFormat="1" applyFont="1" applyFill="1" applyBorder="1"/>
    <xf numFmtId="166" fontId="16" fillId="12" borderId="17" xfId="2" applyNumberFormat="1" applyFont="1" applyFill="1" applyBorder="1" applyAlignment="1">
      <alignment horizontal="center" vertical="center"/>
    </xf>
    <xf numFmtId="166" fontId="21" fillId="26" borderId="34" xfId="15" applyNumberFormat="1" applyFont="1" applyFill="1" applyBorder="1"/>
    <xf numFmtId="166" fontId="21" fillId="26" borderId="35" xfId="15" applyNumberFormat="1" applyFont="1" applyFill="1" applyBorder="1"/>
    <xf numFmtId="0" fontId="17" fillId="12" borderId="38" xfId="6" applyFont="1" applyFill="1" applyBorder="1" applyAlignment="1">
      <alignment horizontal="center" vertical="center"/>
    </xf>
    <xf numFmtId="0" fontId="16" fillId="0" borderId="0" xfId="0" applyFont="1" applyBorder="1"/>
    <xf numFmtId="16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4" xfId="9" applyFont="1" applyFill="1" applyAlignment="1">
      <alignment horizontal="center" vertical="center"/>
    </xf>
    <xf numFmtId="0" fontId="17" fillId="0" borderId="39" xfId="9" applyFont="1" applyFill="1" applyBorder="1" applyAlignment="1">
      <alignment horizontal="center" vertical="center"/>
    </xf>
    <xf numFmtId="9" fontId="9" fillId="0" borderId="0" xfId="8" applyNumberFormat="1" applyAlignment="1">
      <alignment horizontal="center" vertical="center"/>
    </xf>
    <xf numFmtId="9" fontId="9" fillId="0" borderId="0" xfId="8" applyNumberFormat="1" applyAlignment="1">
      <alignment horizontal="right"/>
    </xf>
    <xf numFmtId="166" fontId="21" fillId="26" borderId="17" xfId="15" applyNumberFormat="1" applyFont="1" applyFill="1" applyBorder="1"/>
    <xf numFmtId="166" fontId="21" fillId="26" borderId="18" xfId="15" applyNumberFormat="1" applyFont="1" applyFill="1" applyBorder="1"/>
    <xf numFmtId="0" fontId="21" fillId="26" borderId="16" xfId="15" applyFont="1" applyFill="1" applyBorder="1"/>
    <xf numFmtId="0" fontId="21" fillId="26" borderId="18" xfId="15" applyFont="1" applyFill="1" applyBorder="1"/>
    <xf numFmtId="0" fontId="17" fillId="12" borderId="40" xfId="6" applyFont="1" applyFill="1" applyBorder="1" applyAlignment="1">
      <alignment horizontal="center" vertical="center"/>
    </xf>
    <xf numFmtId="164" fontId="16" fillId="0" borderId="0" xfId="0" applyNumberFormat="1" applyFont="1" applyFill="1"/>
    <xf numFmtId="164" fontId="16" fillId="6" borderId="17" xfId="1" applyNumberFormat="1" applyFont="1" applyFill="1" applyBorder="1" applyAlignment="1"/>
    <xf numFmtId="0" fontId="10" fillId="0" borderId="0" xfId="0" applyFont="1" applyAlignment="1">
      <alignment horizontal="center"/>
    </xf>
    <xf numFmtId="166" fontId="10" fillId="0" borderId="4" xfId="9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28" borderId="0" xfId="0" applyFill="1" applyAlignment="1">
      <alignment horizontal="center" vertical="center"/>
    </xf>
    <xf numFmtId="0" fontId="38" fillId="28" borderId="0" xfId="0" applyFont="1" applyFill="1"/>
    <xf numFmtId="0" fontId="10" fillId="28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31" borderId="6" xfId="0" applyFill="1" applyBorder="1" applyAlignment="1">
      <alignment horizontal="center" vertical="center"/>
    </xf>
    <xf numFmtId="0" fontId="16" fillId="6" borderId="6" xfId="13" applyFont="1" applyFill="1" applyBorder="1">
      <alignment horizontal="center"/>
    </xf>
    <xf numFmtId="0" fontId="10" fillId="19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10" fillId="31" borderId="6" xfId="0" applyFont="1" applyFill="1" applyBorder="1" applyAlignment="1">
      <alignment horizontal="center" vertical="center"/>
    </xf>
    <xf numFmtId="0" fontId="0" fillId="19" borderId="71" xfId="0" applyFill="1" applyBorder="1" applyAlignment="1">
      <alignment horizontal="center" vertical="center"/>
    </xf>
    <xf numFmtId="0" fontId="16" fillId="6" borderId="35" xfId="13" applyFont="1" applyFill="1" applyBorder="1">
      <alignment horizontal="center"/>
    </xf>
    <xf numFmtId="10" fontId="9" fillId="0" borderId="0" xfId="8" applyNumberFormat="1"/>
    <xf numFmtId="0" fontId="17" fillId="6" borderId="35" xfId="13" applyFont="1" applyFill="1" applyBorder="1">
      <alignment horizontal="center"/>
    </xf>
    <xf numFmtId="0" fontId="0" fillId="19" borderId="6" xfId="0" applyFont="1" applyFill="1" applyBorder="1" applyAlignment="1">
      <alignment horizontal="center" vertical="center"/>
    </xf>
    <xf numFmtId="166" fontId="21" fillId="18" borderId="34" xfId="15" applyNumberFormat="1" applyFont="1" applyFill="1" applyBorder="1" applyAlignment="1">
      <alignment horizontal="center" vertical="center"/>
    </xf>
    <xf numFmtId="166" fontId="21" fillId="18" borderId="21" xfId="15" applyNumberFormat="1" applyFont="1" applyFill="1" applyBorder="1" applyAlignment="1">
      <alignment horizontal="center" vertical="center"/>
    </xf>
    <xf numFmtId="166" fontId="21" fillId="18" borderId="35" xfId="15" applyNumberFormat="1" applyFont="1" applyFill="1" applyBorder="1" applyAlignment="1">
      <alignment horizontal="center" vertical="center"/>
    </xf>
    <xf numFmtId="166" fontId="21" fillId="18" borderId="18" xfId="15" applyNumberFormat="1" applyFont="1" applyFill="1" applyBorder="1" applyAlignment="1">
      <alignment horizontal="center" vertical="center"/>
    </xf>
    <xf numFmtId="166" fontId="21" fillId="18" borderId="34" xfId="15" applyNumberFormat="1" applyFont="1" applyFill="1" applyBorder="1"/>
    <xf numFmtId="9" fontId="16" fillId="0" borderId="15" xfId="2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10" fontId="42" fillId="0" borderId="0" xfId="8" applyNumberFormat="1" applyFont="1" applyBorder="1" applyAlignment="1">
      <alignment vertical="center"/>
    </xf>
    <xf numFmtId="164" fontId="10" fillId="0" borderId="0" xfId="0" applyNumberFormat="1" applyFont="1" applyBorder="1"/>
    <xf numFmtId="0" fontId="4" fillId="0" borderId="2" xfId="5" applyFill="1" applyBorder="1" applyAlignment="1">
      <alignment horizontal="center" vertical="center"/>
    </xf>
    <xf numFmtId="10" fontId="9" fillId="0" borderId="0" xfId="8" applyNumberFormat="1" applyAlignment="1">
      <alignment horizontal="center" vertical="center"/>
    </xf>
    <xf numFmtId="0" fontId="4" fillId="0" borderId="2" xfId="5" applyAlignment="1">
      <alignment horizontal="center"/>
    </xf>
    <xf numFmtId="0" fontId="4" fillId="0" borderId="2" xfId="5" applyFont="1" applyAlignment="1">
      <alignment horizontal="center" wrapText="1"/>
    </xf>
    <xf numFmtId="0" fontId="4" fillId="0" borderId="31" xfId="5" applyFont="1" applyBorder="1" applyAlignment="1">
      <alignment horizontal="center" wrapText="1"/>
    </xf>
    <xf numFmtId="0" fontId="4" fillId="0" borderId="2" xfId="5" applyFont="1" applyBorder="1" applyAlignment="1">
      <alignment horizontal="center" wrapText="1"/>
    </xf>
    <xf numFmtId="0" fontId="4" fillId="0" borderId="2" xfId="5" applyAlignment="1">
      <alignment horizontal="center" vertical="center"/>
    </xf>
    <xf numFmtId="38" fontId="43" fillId="8" borderId="2" xfId="5" applyNumberFormat="1" applyFont="1" applyFill="1" applyBorder="1" applyAlignment="1">
      <alignment horizontal="center" vertical="center"/>
    </xf>
    <xf numFmtId="38" fontId="43" fillId="8" borderId="45" xfId="5" applyNumberFormat="1" applyFont="1" applyFill="1" applyBorder="1" applyAlignment="1">
      <alignment horizontal="center" vertical="center"/>
    </xf>
    <xf numFmtId="38" fontId="27" fillId="7" borderId="2" xfId="5" applyNumberFormat="1" applyFont="1" applyFill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10" fontId="34" fillId="8" borderId="45" xfId="2" applyNumberFormat="1" applyFont="1" applyFill="1" applyBorder="1" applyAlignment="1">
      <alignment horizontal="center" vertical="center"/>
    </xf>
    <xf numFmtId="10" fontId="34" fillId="8" borderId="2" xfId="2" applyNumberFormat="1" applyFont="1" applyFill="1" applyBorder="1" applyAlignment="1">
      <alignment horizontal="center" vertical="center"/>
    </xf>
    <xf numFmtId="10" fontId="15" fillId="0" borderId="47" xfId="2" applyNumberFormat="1" applyFont="1" applyFill="1" applyBorder="1" applyAlignment="1">
      <alignment horizontal="center" vertical="center"/>
    </xf>
    <xf numFmtId="10" fontId="15" fillId="0" borderId="17" xfId="2" applyNumberFormat="1" applyFont="1" applyFill="1" applyBorder="1" applyAlignment="1">
      <alignment horizontal="center" vertical="center"/>
    </xf>
    <xf numFmtId="10" fontId="15" fillId="0" borderId="49" xfId="2" applyNumberFormat="1" applyFont="1" applyFill="1" applyBorder="1" applyAlignment="1">
      <alignment horizontal="center" vertical="center"/>
    </xf>
    <xf numFmtId="10" fontId="15" fillId="0" borderId="0" xfId="2" applyNumberFormat="1" applyFont="1" applyFill="1" applyBorder="1" applyAlignment="1">
      <alignment horizontal="center" vertical="center"/>
    </xf>
    <xf numFmtId="44" fontId="17" fillId="0" borderId="0" xfId="1" applyNumberFormat="1" applyFont="1" applyFill="1"/>
    <xf numFmtId="167" fontId="16" fillId="6" borderId="16" xfId="2" applyNumberFormat="1" applyFont="1" applyFill="1" applyBorder="1" applyAlignment="1">
      <alignment horizontal="center" vertical="center"/>
    </xf>
    <xf numFmtId="167" fontId="16" fillId="6" borderId="17" xfId="14" applyNumberFormat="1" applyFont="1" applyFill="1" applyBorder="1" applyAlignment="1">
      <alignment horizontal="center" vertical="center"/>
    </xf>
    <xf numFmtId="167" fontId="21" fillId="18" borderId="17" xfId="15" applyNumberFormat="1" applyFont="1" applyFill="1" applyBorder="1" applyAlignment="1">
      <alignment horizontal="center" vertical="center"/>
    </xf>
    <xf numFmtId="167" fontId="16" fillId="6" borderId="18" xfId="14" applyNumberFormat="1" applyFont="1" applyFill="1" applyBorder="1" applyAlignment="1">
      <alignment horizontal="center" vertical="center"/>
    </xf>
    <xf numFmtId="167" fontId="16" fillId="6" borderId="16" xfId="14" applyNumberFormat="1" applyFont="1" applyFill="1" applyBorder="1" applyAlignment="1">
      <alignment horizontal="center" vertical="center"/>
    </xf>
    <xf numFmtId="167" fontId="16" fillId="0" borderId="16" xfId="14" applyNumberFormat="1" applyFont="1" applyFill="1" applyBorder="1" applyAlignment="1">
      <alignment horizontal="center" vertical="center"/>
    </xf>
    <xf numFmtId="167" fontId="16" fillId="0" borderId="17" xfId="14" applyNumberFormat="1" applyFont="1" applyFill="1" applyBorder="1" applyAlignment="1">
      <alignment horizontal="center" vertical="center"/>
    </xf>
    <xf numFmtId="167" fontId="21" fillId="0" borderId="17" xfId="15" applyNumberFormat="1" applyFont="1" applyFill="1" applyBorder="1" applyAlignment="1">
      <alignment horizontal="center" vertical="center"/>
    </xf>
    <xf numFmtId="167" fontId="16" fillId="0" borderId="18" xfId="14" applyNumberFormat="1" applyFont="1" applyFill="1" applyBorder="1" applyAlignment="1">
      <alignment horizontal="center" vertical="center"/>
    </xf>
    <xf numFmtId="167" fontId="16" fillId="19" borderId="16" xfId="14" applyNumberFormat="1" applyFont="1" applyFill="1" applyBorder="1" applyAlignment="1">
      <alignment horizontal="center" vertical="center"/>
    </xf>
    <xf numFmtId="167" fontId="16" fillId="19" borderId="17" xfId="14" applyNumberFormat="1" applyFont="1" applyFill="1" applyBorder="1" applyAlignment="1">
      <alignment horizontal="center" vertical="center"/>
    </xf>
    <xf numFmtId="167" fontId="21" fillId="20" borderId="17" xfId="15" applyNumberFormat="1" applyFont="1" applyFill="1" applyBorder="1" applyAlignment="1">
      <alignment horizontal="center" vertical="center"/>
    </xf>
    <xf numFmtId="167" fontId="16" fillId="19" borderId="18" xfId="14" applyNumberFormat="1" applyFont="1" applyFill="1" applyBorder="1" applyAlignment="1">
      <alignment horizontal="center" vertical="center"/>
    </xf>
    <xf numFmtId="167" fontId="21" fillId="20" borderId="16" xfId="15" applyNumberFormat="1" applyFont="1" applyFill="1" applyBorder="1" applyAlignment="1">
      <alignment horizontal="center" vertical="center"/>
    </xf>
    <xf numFmtId="167" fontId="21" fillId="20" borderId="18" xfId="15" applyNumberFormat="1" applyFont="1" applyFill="1" applyBorder="1" applyAlignment="1">
      <alignment horizontal="center" vertical="center"/>
    </xf>
    <xf numFmtId="167" fontId="21" fillId="0" borderId="16" xfId="15" applyNumberFormat="1" applyFont="1" applyFill="1" applyBorder="1" applyAlignment="1">
      <alignment horizontal="center" vertical="center"/>
    </xf>
    <xf numFmtId="167" fontId="21" fillId="0" borderId="18" xfId="15" applyNumberFormat="1" applyFont="1" applyFill="1" applyBorder="1" applyAlignment="1">
      <alignment horizontal="center" vertical="center"/>
    </xf>
    <xf numFmtId="167" fontId="21" fillId="30" borderId="16" xfId="15" applyNumberFormat="1" applyFont="1" applyFill="1" applyBorder="1" applyAlignment="1">
      <alignment horizontal="center" vertical="center"/>
    </xf>
    <xf numFmtId="167" fontId="21" fillId="30" borderId="17" xfId="15" applyNumberFormat="1" applyFont="1" applyFill="1" applyBorder="1" applyAlignment="1">
      <alignment horizontal="center" vertical="center"/>
    </xf>
    <xf numFmtId="167" fontId="21" fillId="30" borderId="18" xfId="15" applyNumberFormat="1" applyFont="1" applyFill="1" applyBorder="1" applyAlignment="1">
      <alignment horizontal="center" vertical="center"/>
    </xf>
    <xf numFmtId="167" fontId="16" fillId="12" borderId="16" xfId="14" applyNumberFormat="1" applyFont="1" applyFill="1" applyBorder="1" applyAlignment="1">
      <alignment horizontal="center" vertical="center"/>
    </xf>
    <xf numFmtId="167" fontId="16" fillId="12" borderId="17" xfId="14" applyNumberFormat="1" applyFont="1" applyFill="1" applyBorder="1" applyAlignment="1">
      <alignment horizontal="center" vertical="center"/>
    </xf>
    <xf numFmtId="167" fontId="21" fillId="26" borderId="17" xfId="15" applyNumberFormat="1" applyFont="1" applyFill="1" applyBorder="1" applyAlignment="1">
      <alignment horizontal="center" vertical="center"/>
    </xf>
    <xf numFmtId="167" fontId="16" fillId="12" borderId="18" xfId="14" applyNumberFormat="1" applyFont="1" applyFill="1" applyBorder="1" applyAlignment="1">
      <alignment horizontal="center" vertical="center"/>
    </xf>
    <xf numFmtId="168" fontId="21" fillId="26" borderId="17" xfId="15" applyNumberFormat="1" applyFont="1" applyFill="1" applyBorder="1" applyAlignment="1">
      <alignment horizontal="center" vertical="center"/>
    </xf>
    <xf numFmtId="168" fontId="21" fillId="26" borderId="16" xfId="15" applyNumberFormat="1" applyFont="1" applyFill="1" applyBorder="1" applyAlignment="1">
      <alignment horizontal="center" vertical="center"/>
    </xf>
    <xf numFmtId="168" fontId="21" fillId="26" borderId="18" xfId="15" applyNumberFormat="1" applyFont="1" applyFill="1" applyBorder="1" applyAlignment="1">
      <alignment horizontal="center" vertical="center"/>
    </xf>
    <xf numFmtId="167" fontId="21" fillId="18" borderId="21" xfId="2" applyNumberFormat="1" applyFont="1" applyFill="1" applyBorder="1"/>
    <xf numFmtId="167" fontId="21" fillId="18" borderId="35" xfId="2" applyNumberFormat="1" applyFont="1" applyFill="1" applyBorder="1"/>
    <xf numFmtId="167" fontId="21" fillId="18" borderId="17" xfId="2" applyNumberFormat="1" applyFont="1" applyFill="1" applyBorder="1"/>
    <xf numFmtId="167" fontId="21" fillId="18" borderId="18" xfId="2" applyNumberFormat="1" applyFont="1" applyFill="1" applyBorder="1"/>
    <xf numFmtId="167" fontId="16" fillId="0" borderId="17" xfId="2" applyNumberFormat="1" applyFont="1" applyFill="1" applyBorder="1" applyAlignment="1">
      <alignment horizontal="center"/>
    </xf>
    <xf numFmtId="167" fontId="21" fillId="0" borderId="17" xfId="2" applyNumberFormat="1" applyFont="1" applyFill="1" applyBorder="1"/>
    <xf numFmtId="167" fontId="16" fillId="0" borderId="18" xfId="2" applyNumberFormat="1" applyFont="1" applyFill="1" applyBorder="1" applyAlignment="1">
      <alignment horizontal="center"/>
    </xf>
    <xf numFmtId="167" fontId="21" fillId="20" borderId="17" xfId="2" applyNumberFormat="1" applyFont="1" applyFill="1" applyBorder="1" applyAlignment="1">
      <alignment horizontal="center"/>
    </xf>
    <xf numFmtId="167" fontId="21" fillId="20" borderId="17" xfId="2" applyNumberFormat="1" applyFont="1" applyFill="1" applyBorder="1"/>
    <xf numFmtId="167" fontId="21" fillId="20" borderId="18" xfId="2" applyNumberFormat="1" applyFont="1" applyFill="1" applyBorder="1" applyAlignment="1">
      <alignment horizontal="center"/>
    </xf>
    <xf numFmtId="167" fontId="21" fillId="0" borderId="17" xfId="2" applyNumberFormat="1" applyFont="1" applyFill="1" applyBorder="1" applyAlignment="1">
      <alignment horizontal="center"/>
    </xf>
    <xf numFmtId="167" fontId="21" fillId="0" borderId="18" xfId="2" applyNumberFormat="1" applyFont="1" applyFill="1" applyBorder="1" applyAlignment="1">
      <alignment horizontal="center"/>
    </xf>
    <xf numFmtId="167" fontId="16" fillId="29" borderId="17" xfId="2" applyNumberFormat="1" applyFont="1" applyFill="1" applyBorder="1" applyAlignment="1">
      <alignment horizontal="center"/>
    </xf>
    <xf numFmtId="167" fontId="21" fillId="30" borderId="17" xfId="2" applyNumberFormat="1" applyFont="1" applyFill="1" applyBorder="1"/>
    <xf numFmtId="167" fontId="21" fillId="30" borderId="17" xfId="15" applyNumberFormat="1" applyFont="1" applyFill="1" applyBorder="1"/>
    <xf numFmtId="167" fontId="21" fillId="30" borderId="18" xfId="15" applyNumberFormat="1" applyFont="1" applyFill="1" applyBorder="1"/>
    <xf numFmtId="167" fontId="21" fillId="26" borderId="21" xfId="15" applyNumberFormat="1" applyFont="1" applyFill="1" applyBorder="1"/>
    <xf numFmtId="167" fontId="21" fillId="26" borderId="35" xfId="15" applyNumberFormat="1" applyFont="1" applyFill="1" applyBorder="1"/>
    <xf numFmtId="167" fontId="21" fillId="26" borderId="17" xfId="15" applyNumberFormat="1" applyFont="1" applyFill="1" applyBorder="1"/>
    <xf numFmtId="167" fontId="21" fillId="26" borderId="18" xfId="15" applyNumberFormat="1" applyFont="1" applyFill="1" applyBorder="1"/>
    <xf numFmtId="167" fontId="16" fillId="6" borderId="16" xfId="2" applyNumberFormat="1" applyFont="1" applyFill="1" applyBorder="1" applyAlignment="1">
      <alignment horizontal="center"/>
    </xf>
    <xf numFmtId="167" fontId="16" fillId="6" borderId="18" xfId="2" applyNumberFormat="1" applyFont="1" applyFill="1" applyBorder="1" applyAlignment="1">
      <alignment horizontal="center"/>
    </xf>
    <xf numFmtId="167" fontId="16" fillId="0" borderId="16" xfId="2" applyNumberFormat="1" applyFont="1" applyFill="1" applyBorder="1" applyAlignment="1">
      <alignment horizontal="center"/>
    </xf>
    <xf numFmtId="167" fontId="16" fillId="19" borderId="16" xfId="2" applyNumberFormat="1" applyFont="1" applyFill="1" applyBorder="1" applyAlignment="1">
      <alignment horizontal="center"/>
    </xf>
    <xf numFmtId="167" fontId="16" fillId="19" borderId="18" xfId="2" applyNumberFormat="1" applyFont="1" applyFill="1" applyBorder="1" applyAlignment="1">
      <alignment horizontal="center"/>
    </xf>
    <xf numFmtId="167" fontId="21" fillId="30" borderId="16" xfId="15" applyNumberFormat="1" applyFont="1" applyFill="1" applyBorder="1" applyAlignment="1">
      <alignment horizontal="center"/>
    </xf>
    <xf numFmtId="167" fontId="21" fillId="30" borderId="18" xfId="15" applyNumberFormat="1" applyFont="1" applyFill="1" applyBorder="1" applyAlignment="1">
      <alignment horizontal="center"/>
    </xf>
    <xf numFmtId="167" fontId="21" fillId="26" borderId="34" xfId="15" applyNumberFormat="1" applyFont="1" applyFill="1" applyBorder="1"/>
    <xf numFmtId="167" fontId="16" fillId="12" borderId="16" xfId="2" applyNumberFormat="1" applyFont="1" applyFill="1" applyBorder="1" applyAlignment="1">
      <alignment horizontal="center"/>
    </xf>
    <xf numFmtId="167" fontId="16" fillId="12" borderId="18" xfId="2" applyNumberFormat="1" applyFont="1" applyFill="1" applyBorder="1" applyAlignment="1">
      <alignment horizontal="center"/>
    </xf>
    <xf numFmtId="167" fontId="21" fillId="26" borderId="16" xfId="2" applyNumberFormat="1" applyFont="1" applyFill="1" applyBorder="1"/>
    <xf numFmtId="167" fontId="21" fillId="26" borderId="18" xfId="2" applyNumberFormat="1" applyFont="1" applyFill="1" applyBorder="1"/>
    <xf numFmtId="167" fontId="21" fillId="27" borderId="34" xfId="15" applyNumberFormat="1" applyFont="1" applyFill="1" applyBorder="1"/>
    <xf numFmtId="167" fontId="21" fillId="27" borderId="35" xfId="15" applyNumberFormat="1" applyFont="1" applyFill="1" applyBorder="1"/>
    <xf numFmtId="167" fontId="21" fillId="0" borderId="19" xfId="15" applyNumberFormat="1" applyFont="1" applyFill="1" applyBorder="1"/>
    <xf numFmtId="167" fontId="21" fillId="0" borderId="32" xfId="15" applyNumberFormat="1" applyFont="1" applyFill="1" applyBorder="1"/>
    <xf numFmtId="167" fontId="21" fillId="20" borderId="19" xfId="15" applyNumberFormat="1" applyFont="1" applyFill="1" applyBorder="1"/>
    <xf numFmtId="167" fontId="21" fillId="20" borderId="32" xfId="15" applyNumberFormat="1" applyFont="1" applyFill="1" applyBorder="1"/>
    <xf numFmtId="167" fontId="21" fillId="20" borderId="34" xfId="15" applyNumberFormat="1" applyFont="1" applyFill="1" applyBorder="1"/>
    <xf numFmtId="167" fontId="21" fillId="20" borderId="35" xfId="15" applyNumberFormat="1" applyFont="1" applyFill="1" applyBorder="1"/>
    <xf numFmtId="167" fontId="21" fillId="30" borderId="34" xfId="15" applyNumberFormat="1" applyFont="1" applyFill="1" applyBorder="1"/>
    <xf numFmtId="167" fontId="21" fillId="30" borderId="35" xfId="15" applyNumberFormat="1" applyFont="1" applyFill="1" applyBorder="1"/>
    <xf numFmtId="167" fontId="21" fillId="30" borderId="10" xfId="15" applyNumberFormat="1" applyFont="1" applyFill="1" applyBorder="1"/>
    <xf numFmtId="167" fontId="21" fillId="30" borderId="15" xfId="15" applyNumberFormat="1" applyFont="1" applyFill="1" applyBorder="1"/>
    <xf numFmtId="167" fontId="21" fillId="26" borderId="19" xfId="15" applyNumberFormat="1" applyFont="1" applyFill="1" applyBorder="1"/>
    <xf numFmtId="167" fontId="21" fillId="26" borderId="32" xfId="15" applyNumberFormat="1" applyFont="1" applyFill="1" applyBorder="1"/>
    <xf numFmtId="167" fontId="16" fillId="12" borderId="34" xfId="2" applyNumberFormat="1" applyFont="1" applyFill="1" applyBorder="1" applyAlignment="1">
      <alignment horizontal="center" vertical="center"/>
    </xf>
    <xf numFmtId="167" fontId="16" fillId="12" borderId="35" xfId="2" applyNumberFormat="1" applyFont="1" applyFill="1" applyBorder="1" applyAlignment="1">
      <alignment horizontal="center" vertical="center"/>
    </xf>
    <xf numFmtId="164" fontId="9" fillId="0" borderId="0" xfId="8" applyNumberFormat="1" applyFill="1"/>
    <xf numFmtId="164" fontId="9" fillId="0" borderId="0" xfId="1" applyNumberFormat="1" applyFont="1" applyFill="1"/>
    <xf numFmtId="0" fontId="17" fillId="12" borderId="6" xfId="13" applyFont="1" applyFill="1" applyBorder="1">
      <alignment horizontal="center"/>
    </xf>
    <xf numFmtId="164" fontId="9" fillId="0" borderId="0" xfId="8" applyNumberFormat="1"/>
    <xf numFmtId="164" fontId="9" fillId="0" borderId="0" xfId="8" applyNumberFormat="1" applyFill="1" applyBorder="1"/>
    <xf numFmtId="167" fontId="16" fillId="24" borderId="17" xfId="12" applyNumberFormat="1" applyFont="1" applyFill="1" applyBorder="1" applyAlignment="1">
      <alignment horizontal="center" vertical="center"/>
    </xf>
    <xf numFmtId="167" fontId="16" fillId="24" borderId="18" xfId="12" applyNumberFormat="1" applyFont="1" applyFill="1" applyBorder="1" applyAlignment="1">
      <alignment horizontal="center" vertical="center"/>
    </xf>
    <xf numFmtId="167" fontId="16" fillId="6" borderId="16" xfId="14" applyNumberFormat="1" applyFont="1" applyFill="1" applyBorder="1" applyAlignment="1">
      <alignment horizontal="center"/>
    </xf>
    <xf numFmtId="167" fontId="16" fillId="6" borderId="17" xfId="14" applyNumberFormat="1" applyFont="1" applyFill="1" applyBorder="1" applyAlignment="1">
      <alignment horizontal="center"/>
    </xf>
    <xf numFmtId="167" fontId="16" fillId="6" borderId="18" xfId="14" applyNumberFormat="1" applyFont="1" applyFill="1" applyBorder="1" applyAlignment="1">
      <alignment horizontal="center"/>
    </xf>
    <xf numFmtId="167" fontId="16" fillId="6" borderId="17" xfId="2" applyNumberFormat="1" applyFont="1" applyFill="1" applyBorder="1" applyAlignment="1">
      <alignment horizontal="center"/>
    </xf>
    <xf numFmtId="167" fontId="16" fillId="19" borderId="17" xfId="2" applyNumberFormat="1" applyFont="1" applyFill="1" applyBorder="1" applyAlignment="1">
      <alignment horizontal="center"/>
    </xf>
    <xf numFmtId="167" fontId="21" fillId="30" borderId="17" xfId="15" applyNumberFormat="1" applyFont="1" applyFill="1" applyBorder="1" applyAlignment="1">
      <alignment horizontal="center"/>
    </xf>
    <xf numFmtId="167" fontId="16" fillId="12" borderId="16" xfId="14" applyNumberFormat="1" applyFont="1" applyFill="1" applyBorder="1" applyAlignment="1">
      <alignment horizontal="center"/>
    </xf>
    <xf numFmtId="167" fontId="16" fillId="12" borderId="17" xfId="14" applyNumberFormat="1" applyFont="1" applyFill="1" applyBorder="1" applyAlignment="1">
      <alignment horizontal="center"/>
    </xf>
    <xf numFmtId="167" fontId="16" fillId="12" borderId="18" xfId="14" applyNumberFormat="1" applyFont="1" applyFill="1" applyBorder="1" applyAlignment="1">
      <alignment horizontal="center"/>
    </xf>
    <xf numFmtId="167" fontId="16" fillId="12" borderId="17" xfId="2" applyNumberFormat="1" applyFont="1" applyFill="1" applyBorder="1" applyAlignment="1">
      <alignment horizontal="center"/>
    </xf>
    <xf numFmtId="167" fontId="21" fillId="0" borderId="34" xfId="15" applyNumberFormat="1" applyFont="1" applyFill="1" applyBorder="1"/>
    <xf numFmtId="167" fontId="21" fillId="0" borderId="35" xfId="15" applyNumberFormat="1" applyFont="1" applyFill="1" applyBorder="1"/>
    <xf numFmtId="167" fontId="21" fillId="20" borderId="16" xfId="15" applyNumberFormat="1" applyFont="1" applyFill="1" applyBorder="1"/>
    <xf numFmtId="167" fontId="21" fillId="20" borderId="18" xfId="15" applyNumberFormat="1" applyFont="1" applyFill="1" applyBorder="1"/>
    <xf numFmtId="167" fontId="21" fillId="30" borderId="16" xfId="15" applyNumberFormat="1" applyFont="1" applyFill="1" applyBorder="1"/>
    <xf numFmtId="167" fontId="16" fillId="29" borderId="16" xfId="14" applyNumberFormat="1" applyFont="1" applyFill="1" applyBorder="1" applyAlignment="1">
      <alignment horizontal="center" vertical="center"/>
    </xf>
    <xf numFmtId="167" fontId="16" fillId="29" borderId="18" xfId="14" applyNumberFormat="1" applyFont="1" applyFill="1" applyBorder="1" applyAlignment="1">
      <alignment horizontal="center" vertical="center"/>
    </xf>
    <xf numFmtId="168" fontId="15" fillId="0" borderId="17" xfId="2" applyNumberFormat="1" applyFont="1" applyFill="1" applyBorder="1" applyAlignment="1">
      <alignment horizontal="center" vertical="center"/>
    </xf>
    <xf numFmtId="168" fontId="15" fillId="0" borderId="0" xfId="2" applyNumberFormat="1" applyFont="1" applyFill="1" applyBorder="1" applyAlignment="1">
      <alignment horizontal="center" vertical="center"/>
    </xf>
    <xf numFmtId="168" fontId="0" fillId="0" borderId="17" xfId="2" applyNumberFormat="1" applyFont="1" applyFill="1" applyBorder="1" applyAlignment="1">
      <alignment horizontal="center" vertical="center"/>
    </xf>
    <xf numFmtId="168" fontId="13" fillId="11" borderId="17" xfId="15" applyNumberFormat="1" applyBorder="1" applyAlignment="1">
      <alignment horizontal="center" vertical="center"/>
    </xf>
    <xf numFmtId="168" fontId="0" fillId="0" borderId="48" xfId="2" applyNumberFormat="1" applyFont="1" applyFill="1" applyBorder="1" applyAlignment="1">
      <alignment horizontal="center" vertical="center"/>
    </xf>
    <xf numFmtId="168" fontId="0" fillId="0" borderId="0" xfId="2" applyNumberFormat="1" applyFont="1" applyFill="1" applyBorder="1" applyAlignment="1">
      <alignment horizontal="center" vertical="center"/>
    </xf>
    <xf numFmtId="168" fontId="13" fillId="11" borderId="0" xfId="15" applyNumberFormat="1" applyBorder="1" applyAlignment="1">
      <alignment horizontal="center" vertical="center"/>
    </xf>
    <xf numFmtId="168" fontId="0" fillId="0" borderId="41" xfId="2" applyNumberFormat="1" applyFont="1" applyFill="1" applyBorder="1" applyAlignment="1">
      <alignment horizontal="center" vertical="center"/>
    </xf>
    <xf numFmtId="168" fontId="13" fillId="11" borderId="21" xfId="15" applyNumberFormat="1" applyBorder="1" applyAlignment="1">
      <alignment horizontal="center"/>
    </xf>
    <xf numFmtId="168" fontId="13" fillId="11" borderId="51" xfId="15" applyNumberFormat="1" applyBorder="1" applyAlignment="1">
      <alignment horizontal="center"/>
    </xf>
    <xf numFmtId="168" fontId="33" fillId="11" borderId="21" xfId="15" applyNumberFormat="1" applyFont="1" applyBorder="1" applyAlignment="1">
      <alignment horizontal="center"/>
    </xf>
    <xf numFmtId="168" fontId="0" fillId="0" borderId="47" xfId="2" applyNumberFormat="1" applyFont="1" applyFill="1" applyBorder="1" applyAlignment="1">
      <alignment horizontal="center" vertical="center"/>
    </xf>
    <xf numFmtId="168" fontId="13" fillId="11" borderId="50" xfId="15" applyNumberFormat="1" applyBorder="1"/>
    <xf numFmtId="168" fontId="13" fillId="11" borderId="51" xfId="15" applyNumberFormat="1" applyBorder="1"/>
    <xf numFmtId="168" fontId="0" fillId="0" borderId="55" xfId="2" applyNumberFormat="1" applyFont="1" applyFill="1" applyBorder="1" applyAlignment="1">
      <alignment horizontal="center" vertical="center"/>
    </xf>
    <xf numFmtId="168" fontId="0" fillId="0" borderId="56" xfId="2" applyNumberFormat="1" applyFont="1" applyFill="1" applyBorder="1" applyAlignment="1">
      <alignment horizontal="center" vertical="center"/>
    </xf>
    <xf numFmtId="168" fontId="0" fillId="0" borderId="49" xfId="2" applyNumberFormat="1" applyFont="1" applyFill="1" applyBorder="1" applyAlignment="1">
      <alignment horizontal="center" vertical="center"/>
    </xf>
    <xf numFmtId="168" fontId="13" fillId="11" borderId="52" xfId="15" applyNumberFormat="1" applyBorder="1"/>
    <xf numFmtId="168" fontId="13" fillId="11" borderId="54" xfId="15" applyNumberFormat="1" applyBorder="1"/>
    <xf numFmtId="0" fontId="4" fillId="0" borderId="0" xfId="6" applyFill="1" applyBorder="1" applyAlignment="1">
      <alignment horizontal="center" vertical="center"/>
    </xf>
    <xf numFmtId="10" fontId="19" fillId="6" borderId="0" xfId="14" applyNumberFormat="1" applyBorder="1" applyAlignment="1">
      <alignment horizontal="center" vertical="center"/>
    </xf>
    <xf numFmtId="0" fontId="44" fillId="0" borderId="0" xfId="8" applyFont="1" applyFill="1" applyBorder="1"/>
    <xf numFmtId="0" fontId="31" fillId="0" borderId="0" xfId="3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4" fillId="0" borderId="73" xfId="6" applyBorder="1" applyAlignment="1"/>
    <xf numFmtId="0" fontId="45" fillId="0" borderId="73" xfId="6" applyFont="1" applyBorder="1" applyAlignment="1"/>
    <xf numFmtId="0" fontId="44" fillId="0" borderId="0" xfId="8" applyFont="1" applyFill="1" applyBorder="1" applyAlignment="1">
      <alignment vertical="top"/>
    </xf>
    <xf numFmtId="164" fontId="46" fillId="0" borderId="0" xfId="8" applyNumberFormat="1" applyFont="1"/>
    <xf numFmtId="0" fontId="47" fillId="0" borderId="0" xfId="0" applyFont="1" applyBorder="1"/>
    <xf numFmtId="0" fontId="47" fillId="0" borderId="0" xfId="0" applyFont="1" applyFill="1" applyBorder="1"/>
    <xf numFmtId="0" fontId="49" fillId="0" borderId="0" xfId="3" applyFont="1" applyBorder="1" applyAlignment="1">
      <alignment horizontal="center" vertical="center"/>
    </xf>
    <xf numFmtId="0" fontId="9" fillId="0" borderId="0" xfId="8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8" applyFont="1" applyBorder="1" applyAlignment="1">
      <alignment horizontal="center" vertical="center"/>
    </xf>
    <xf numFmtId="0" fontId="50" fillId="0" borderId="0" xfId="3" applyFont="1" applyBorder="1" applyAlignment="1">
      <alignment horizontal="center" vertical="center"/>
    </xf>
    <xf numFmtId="0" fontId="50" fillId="0" borderId="0" xfId="3" applyFont="1" applyFill="1" applyBorder="1" applyAlignment="1"/>
    <xf numFmtId="0" fontId="10" fillId="0" borderId="0" xfId="0" applyFont="1" applyFill="1" applyBorder="1"/>
    <xf numFmtId="167" fontId="19" fillId="6" borderId="0" xfId="14" applyNumberFormat="1" applyBorder="1" applyAlignment="1">
      <alignment horizontal="center"/>
    </xf>
    <xf numFmtId="167" fontId="13" fillId="11" borderId="0" xfId="15" applyNumberFormat="1"/>
    <xf numFmtId="168" fontId="15" fillId="0" borderId="75" xfId="2" applyNumberFormat="1" applyFont="1" applyFill="1" applyBorder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16" fillId="0" borderId="21" xfId="6" applyFont="1" applyBorder="1" applyAlignment="1">
      <alignment horizontal="center" vertical="center"/>
    </xf>
    <xf numFmtId="167" fontId="0" fillId="0" borderId="17" xfId="2" applyNumberFormat="1" applyFont="1" applyFill="1" applyBorder="1" applyAlignment="1">
      <alignment horizontal="center" vertical="center"/>
    </xf>
    <xf numFmtId="167" fontId="13" fillId="11" borderId="17" xfId="15" applyNumberFormat="1" applyBorder="1" applyAlignment="1">
      <alignment horizontal="center" vertical="center"/>
    </xf>
    <xf numFmtId="167" fontId="0" fillId="0" borderId="48" xfId="2" applyNumberFormat="1" applyFont="1" applyFill="1" applyBorder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167" fontId="13" fillId="11" borderId="0" xfId="15" applyNumberFormat="1" applyBorder="1" applyAlignment="1">
      <alignment horizontal="center" vertical="center"/>
    </xf>
    <xf numFmtId="167" fontId="13" fillId="11" borderId="20" xfId="15" applyNumberFormat="1" applyBorder="1"/>
    <xf numFmtId="167" fontId="13" fillId="11" borderId="48" xfId="15" applyNumberFormat="1" applyBorder="1"/>
    <xf numFmtId="167" fontId="13" fillId="11" borderId="21" xfId="15" applyNumberFormat="1" applyBorder="1"/>
    <xf numFmtId="167" fontId="0" fillId="0" borderId="21" xfId="2" applyNumberFormat="1" applyFont="1" applyFill="1" applyBorder="1" applyAlignment="1">
      <alignment horizontal="center" vertical="center"/>
    </xf>
    <xf numFmtId="167" fontId="13" fillId="11" borderId="21" xfId="15" applyNumberFormat="1" applyBorder="1" applyAlignment="1">
      <alignment horizontal="center" vertical="center"/>
    </xf>
    <xf numFmtId="167" fontId="0" fillId="0" borderId="57" xfId="2" applyNumberFormat="1" applyFont="1" applyFill="1" applyBorder="1" applyAlignment="1">
      <alignment horizontal="center" vertical="center"/>
    </xf>
    <xf numFmtId="167" fontId="13" fillId="11" borderId="57" xfId="15" applyNumberFormat="1" applyBorder="1" applyAlignment="1">
      <alignment horizontal="center" vertical="center"/>
    </xf>
    <xf numFmtId="167" fontId="0" fillId="0" borderId="56" xfId="2" applyNumberFormat="1" applyFont="1" applyFill="1" applyBorder="1" applyAlignment="1">
      <alignment horizontal="center" vertical="center"/>
    </xf>
    <xf numFmtId="168" fontId="13" fillId="11" borderId="21" xfId="15" applyNumberFormat="1" applyBorder="1" applyAlignment="1">
      <alignment horizontal="center" vertical="center"/>
    </xf>
    <xf numFmtId="168" fontId="0" fillId="0" borderId="57" xfId="2" applyNumberFormat="1" applyFont="1" applyFill="1" applyBorder="1" applyAlignment="1">
      <alignment horizontal="center" vertical="center"/>
    </xf>
    <xf numFmtId="168" fontId="13" fillId="11" borderId="50" xfId="15" applyNumberFormat="1" applyBorder="1" applyAlignment="1">
      <alignment horizontal="center" vertical="center"/>
    </xf>
    <xf numFmtId="168" fontId="13" fillId="11" borderId="51" xfId="15" applyNumberFormat="1" applyBorder="1" applyAlignment="1">
      <alignment horizontal="center" vertical="center"/>
    </xf>
    <xf numFmtId="168" fontId="13" fillId="11" borderId="47" xfId="15" applyNumberFormat="1" applyBorder="1" applyAlignment="1">
      <alignment horizontal="center" vertical="center"/>
    </xf>
    <xf numFmtId="168" fontId="13" fillId="11" borderId="20" xfId="15" applyNumberFormat="1" applyBorder="1" applyAlignment="1">
      <alignment horizontal="center" vertical="center"/>
    </xf>
    <xf numFmtId="168" fontId="13" fillId="11" borderId="48" xfId="15" applyNumberFormat="1" applyBorder="1" applyAlignment="1">
      <alignment horizontal="center" vertical="center"/>
    </xf>
    <xf numFmtId="167" fontId="0" fillId="0" borderId="49" xfId="2" applyNumberFormat="1" applyFont="1" applyFill="1" applyBorder="1" applyAlignment="1">
      <alignment horizontal="center" vertical="center"/>
    </xf>
    <xf numFmtId="167" fontId="0" fillId="0" borderId="41" xfId="2" applyNumberFormat="1" applyFont="1" applyFill="1" applyBorder="1" applyAlignment="1">
      <alignment horizontal="center" vertical="center"/>
    </xf>
    <xf numFmtId="167" fontId="13" fillId="11" borderId="50" xfId="15" applyNumberFormat="1" applyBorder="1"/>
    <xf numFmtId="167" fontId="13" fillId="11" borderId="51" xfId="15" applyNumberFormat="1" applyBorder="1"/>
    <xf numFmtId="0" fontId="4" fillId="0" borderId="21" xfId="6" applyBorder="1"/>
    <xf numFmtId="164" fontId="16" fillId="0" borderId="21" xfId="1" applyNumberFormat="1" applyFont="1" applyFill="1" applyBorder="1" applyAlignment="1">
      <alignment vertical="center"/>
    </xf>
    <xf numFmtId="164" fontId="16" fillId="28" borderId="21" xfId="1" applyNumberFormat="1" applyFont="1" applyFill="1" applyBorder="1" applyAlignment="1">
      <alignment vertical="center"/>
    </xf>
    <xf numFmtId="164" fontId="0" fillId="28" borderId="21" xfId="1" applyNumberFormat="1" applyFont="1" applyFill="1" applyBorder="1"/>
    <xf numFmtId="164" fontId="0" fillId="0" borderId="21" xfId="1" applyNumberFormat="1" applyFont="1" applyBorder="1"/>
    <xf numFmtId="0" fontId="4" fillId="0" borderId="76" xfId="6" applyBorder="1"/>
    <xf numFmtId="164" fontId="0" fillId="28" borderId="76" xfId="1" applyNumberFormat="1" applyFont="1" applyFill="1" applyBorder="1"/>
    <xf numFmtId="164" fontId="0" fillId="0" borderId="76" xfId="1" applyNumberFormat="1" applyFont="1" applyBorder="1"/>
    <xf numFmtId="0" fontId="10" fillId="0" borderId="44" xfId="9" applyBorder="1"/>
    <xf numFmtId="164" fontId="10" fillId="0" borderId="44" xfId="9" applyNumberFormat="1" applyBorder="1"/>
    <xf numFmtId="0" fontId="0" fillId="0" borderId="0" xfId="0" applyBorder="1" applyAlignment="1"/>
    <xf numFmtId="164" fontId="0" fillId="0" borderId="21" xfId="1" applyNumberFormat="1" applyFont="1" applyFill="1" applyBorder="1"/>
    <xf numFmtId="164" fontId="1" fillId="0" borderId="76" xfId="1" applyNumberFormat="1" applyFont="1" applyFill="1" applyBorder="1" applyAlignment="1"/>
    <xf numFmtId="164" fontId="10" fillId="0" borderId="44" xfId="9" applyNumberFormat="1" applyFill="1" applyBorder="1" applyAlignment="1"/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0" fillId="0" borderId="0" xfId="9" applyBorder="1"/>
    <xf numFmtId="0" fontId="41" fillId="0" borderId="0" xfId="3" applyFont="1" applyAlignment="1">
      <alignment vertical="center"/>
    </xf>
    <xf numFmtId="0" fontId="32" fillId="0" borderId="33" xfId="20" applyFill="1" applyAlignment="1">
      <alignment horizontal="center"/>
    </xf>
    <xf numFmtId="0" fontId="4" fillId="0" borderId="2" xfId="5" applyFill="1" applyAlignment="1">
      <alignment horizontal="center"/>
    </xf>
    <xf numFmtId="165" fontId="4" fillId="0" borderId="2" xfId="2" applyNumberFormat="1" applyFont="1" applyFill="1" applyBorder="1" applyAlignment="1">
      <alignment horizontal="center" vertical="center"/>
    </xf>
    <xf numFmtId="0" fontId="4" fillId="0" borderId="0" xfId="6" applyBorder="1" applyAlignment="1"/>
    <xf numFmtId="0" fontId="4" fillId="0" borderId="77" xfId="6" applyBorder="1" applyAlignment="1"/>
    <xf numFmtId="0" fontId="17" fillId="17" borderId="6" xfId="13" applyFont="1" applyFill="1" applyBorder="1" applyAlignment="1">
      <alignment horizontal="left"/>
    </xf>
    <xf numFmtId="164" fontId="16" fillId="0" borderId="17" xfId="1" applyNumberFormat="1" applyFont="1" applyFill="1" applyBorder="1" applyAlignment="1"/>
    <xf numFmtId="164" fontId="17" fillId="0" borderId="17" xfId="1" applyNumberFormat="1" applyFont="1" applyFill="1" applyBorder="1" applyAlignment="1"/>
    <xf numFmtId="165" fontId="16" fillId="0" borderId="17" xfId="2" applyNumberFormat="1" applyFont="1" applyFill="1" applyBorder="1" applyAlignment="1">
      <alignment horizontal="center"/>
    </xf>
    <xf numFmtId="0" fontId="17" fillId="17" borderId="71" xfId="13" applyFont="1" applyFill="1" applyBorder="1" applyAlignment="1">
      <alignment horizontal="left"/>
    </xf>
    <xf numFmtId="164" fontId="16" fillId="0" borderId="0" xfId="1" applyNumberFormat="1" applyFont="1" applyFill="1" applyBorder="1" applyAlignment="1"/>
    <xf numFmtId="0" fontId="17" fillId="17" borderId="78" xfId="13" applyFont="1" applyFill="1" applyBorder="1" applyAlignment="1">
      <alignment horizontal="left"/>
    </xf>
    <xf numFmtId="164" fontId="16" fillId="0" borderId="76" xfId="1" applyNumberFormat="1" applyFont="1" applyFill="1" applyBorder="1" applyAlignment="1"/>
    <xf numFmtId="164" fontId="16" fillId="0" borderId="76" xfId="1" applyNumberFormat="1" applyFont="1" applyFill="1" applyBorder="1" applyAlignment="1" applyProtection="1"/>
    <xf numFmtId="0" fontId="17" fillId="16" borderId="6" xfId="13" applyFont="1" applyFill="1" applyBorder="1" applyAlignment="1">
      <alignment horizontal="left"/>
    </xf>
    <xf numFmtId="0" fontId="17" fillId="14" borderId="6" xfId="13" applyFont="1" applyFill="1" applyBorder="1" applyAlignment="1">
      <alignment horizontal="left"/>
    </xf>
    <xf numFmtId="0" fontId="17" fillId="15" borderId="6" xfId="13" applyFont="1" applyFill="1" applyBorder="1" applyAlignment="1">
      <alignment horizontal="left"/>
    </xf>
    <xf numFmtId="165" fontId="10" fillId="0" borderId="4" xfId="2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 vertical="center"/>
    </xf>
    <xf numFmtId="0" fontId="4" fillId="0" borderId="2" xfId="5" applyFill="1" applyAlignment="1">
      <alignment horizontal="center" wrapText="1"/>
    </xf>
    <xf numFmtId="0" fontId="17" fillId="6" borderId="6" xfId="13" applyFont="1" applyFill="1" applyBorder="1" applyAlignment="1">
      <alignment horizontal="left"/>
    </xf>
    <xf numFmtId="164" fontId="10" fillId="0" borderId="17" xfId="1" applyNumberFormat="1" applyFont="1" applyFill="1" applyBorder="1" applyAlignment="1"/>
    <xf numFmtId="165" fontId="1" fillId="0" borderId="17" xfId="2" applyNumberFormat="1" applyFont="1" applyFill="1" applyBorder="1" applyAlignment="1">
      <alignment horizontal="center" vertical="center"/>
    </xf>
    <xf numFmtId="164" fontId="10" fillId="0" borderId="76" xfId="1" applyNumberFormat="1" applyFont="1" applyFill="1" applyBorder="1" applyAlignment="1"/>
    <xf numFmtId="165" fontId="1" fillId="0" borderId="76" xfId="2" applyNumberFormat="1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164" fontId="17" fillId="0" borderId="76" xfId="1" applyNumberFormat="1" applyFont="1" applyFill="1" applyBorder="1" applyAlignment="1"/>
    <xf numFmtId="164" fontId="17" fillId="0" borderId="77" xfId="1" applyNumberFormat="1" applyFont="1" applyFill="1" applyBorder="1" applyAlignment="1"/>
    <xf numFmtId="0" fontId="17" fillId="12" borderId="6" xfId="13" applyFont="1" applyFill="1" applyBorder="1" applyAlignment="1">
      <alignment horizontal="left"/>
    </xf>
    <xf numFmtId="164" fontId="1" fillId="0" borderId="79" xfId="1" applyNumberFormat="1" applyFont="1" applyFill="1" applyBorder="1" applyAlignment="1"/>
    <xf numFmtId="165" fontId="16" fillId="0" borderId="76" xfId="2" applyNumberFormat="1" applyFont="1" applyFill="1" applyBorder="1" applyAlignment="1">
      <alignment horizontal="center"/>
    </xf>
    <xf numFmtId="164" fontId="17" fillId="0" borderId="21" xfId="1" applyNumberFormat="1" applyFont="1" applyFill="1" applyBorder="1" applyAlignment="1"/>
    <xf numFmtId="0" fontId="17" fillId="17" borderId="80" xfId="13" applyFont="1" applyFill="1" applyBorder="1" applyAlignment="1">
      <alignment horizontal="left"/>
    </xf>
    <xf numFmtId="0" fontId="17" fillId="6" borderId="80" xfId="13" applyFont="1" applyFill="1" applyBorder="1" applyAlignment="1">
      <alignment horizontal="left"/>
    </xf>
    <xf numFmtId="0" fontId="17" fillId="6" borderId="78" xfId="13" applyFont="1" applyFill="1" applyBorder="1" applyAlignment="1">
      <alignment horizontal="left"/>
    </xf>
    <xf numFmtId="0" fontId="17" fillId="19" borderId="80" xfId="13" applyFont="1" applyFill="1" applyBorder="1" applyAlignment="1">
      <alignment horizontal="left"/>
    </xf>
    <xf numFmtId="0" fontId="17" fillId="19" borderId="6" xfId="13" applyFont="1" applyFill="1" applyBorder="1" applyAlignment="1">
      <alignment horizontal="left"/>
    </xf>
    <xf numFmtId="0" fontId="17" fillId="19" borderId="78" xfId="13" applyFont="1" applyFill="1" applyBorder="1" applyAlignment="1">
      <alignment horizontal="left"/>
    </xf>
    <xf numFmtId="0" fontId="9" fillId="0" borderId="0" xfId="8" applyBorder="1" applyAlignment="1">
      <alignment horizontal="center" vertical="center"/>
    </xf>
    <xf numFmtId="0" fontId="49" fillId="0" borderId="0" xfId="3" applyFont="1" applyFill="1" applyAlignment="1">
      <alignment horizontal="center" vertical="center"/>
    </xf>
    <xf numFmtId="0" fontId="49" fillId="0" borderId="0" xfId="3" applyFont="1" applyFill="1" applyBorder="1" applyAlignment="1">
      <alignment vertical="center"/>
    </xf>
    <xf numFmtId="0" fontId="49" fillId="0" borderId="0" xfId="3" applyFont="1" applyFill="1" applyAlignment="1">
      <alignment vertical="center"/>
    </xf>
    <xf numFmtId="0" fontId="49" fillId="0" borderId="0" xfId="3" applyFont="1" applyBorder="1" applyAlignment="1">
      <alignment vertical="center"/>
    </xf>
    <xf numFmtId="0" fontId="49" fillId="0" borderId="0" xfId="3" applyFont="1" applyFill="1" applyBorder="1" applyAlignment="1">
      <alignment horizontal="center" vertical="center"/>
    </xf>
    <xf numFmtId="167" fontId="19" fillId="6" borderId="0" xfId="14" applyNumberFormat="1" applyBorder="1" applyAlignment="1">
      <alignment horizontal="center" vertical="center"/>
    </xf>
    <xf numFmtId="167" fontId="13" fillId="11" borderId="0" xfId="15" applyNumberFormat="1" applyAlignment="1">
      <alignment horizontal="center" vertical="center"/>
    </xf>
    <xf numFmtId="168" fontId="19" fillId="6" borderId="0" xfId="14" applyNumberFormat="1" applyBorder="1" applyAlignment="1">
      <alignment horizontal="center" vertical="center"/>
    </xf>
    <xf numFmtId="10" fontId="0" fillId="0" borderId="48" xfId="2" applyNumberFormat="1" applyFont="1" applyFill="1" applyBorder="1" applyAlignment="1">
      <alignment horizontal="center" vertical="center"/>
    </xf>
    <xf numFmtId="166" fontId="0" fillId="0" borderId="0" xfId="0" applyNumberFormat="1"/>
    <xf numFmtId="168" fontId="19" fillId="6" borderId="0" xfId="14" applyNumberFormat="1" applyBorder="1" applyAlignment="1">
      <alignment horizontal="center"/>
    </xf>
    <xf numFmtId="169" fontId="0" fillId="0" borderId="0" xfId="0" applyNumberFormat="1"/>
    <xf numFmtId="0" fontId="1" fillId="0" borderId="4" xfId="9" applyFont="1"/>
    <xf numFmtId="164" fontId="1" fillId="0" borderId="4" xfId="9" applyNumberFormat="1" applyFont="1"/>
    <xf numFmtId="0" fontId="4" fillId="0" borderId="0" xfId="5" applyFont="1" applyFill="1" applyBorder="1" applyAlignment="1">
      <alignment horizontal="center" vertical="center"/>
    </xf>
    <xf numFmtId="0" fontId="4" fillId="0" borderId="2" xfId="5" applyFont="1" applyFill="1" applyAlignment="1">
      <alignment horizontal="center" vertical="center"/>
    </xf>
    <xf numFmtId="168" fontId="13" fillId="0" borderId="21" xfId="15" applyNumberFormat="1" applyFill="1" applyBorder="1" applyAlignment="1">
      <alignment horizontal="center" vertical="center"/>
    </xf>
    <xf numFmtId="168" fontId="13" fillId="0" borderId="20" xfId="15" applyNumberFormat="1" applyFill="1" applyBorder="1" applyAlignment="1">
      <alignment horizontal="center" vertical="center"/>
    </xf>
    <xf numFmtId="44" fontId="17" fillId="0" borderId="2" xfId="5" applyNumberFormat="1" applyFont="1" applyFill="1" applyAlignment="1">
      <alignment vertical="center"/>
    </xf>
    <xf numFmtId="164" fontId="17" fillId="0" borderId="0" xfId="1" applyNumberFormat="1" applyFont="1"/>
    <xf numFmtId="164" fontId="17" fillId="0" borderId="4" xfId="9" applyNumberFormat="1" applyFont="1"/>
    <xf numFmtId="0" fontId="17" fillId="0" borderId="2" xfId="5" applyFont="1" applyFill="1" applyAlignment="1">
      <alignment vertical="center"/>
    </xf>
    <xf numFmtId="164" fontId="17" fillId="0" borderId="4" xfId="9" applyNumberFormat="1" applyFont="1" applyFill="1"/>
    <xf numFmtId="44" fontId="17" fillId="0" borderId="2" xfId="5" applyNumberFormat="1" applyFont="1"/>
    <xf numFmtId="0" fontId="17" fillId="0" borderId="0" xfId="0" applyFont="1"/>
    <xf numFmtId="0" fontId="17" fillId="0" borderId="2" xfId="5" applyFont="1"/>
    <xf numFmtId="164" fontId="17" fillId="0" borderId="0" xfId="18" applyNumberFormat="1" applyFont="1" applyFill="1"/>
    <xf numFmtId="164" fontId="17" fillId="0" borderId="2" xfId="5" applyNumberFormat="1" applyFont="1"/>
    <xf numFmtId="164" fontId="1" fillId="0" borderId="0" xfId="1" applyNumberFormat="1" applyFont="1" applyFill="1" applyBorder="1" applyAlignment="1"/>
    <xf numFmtId="165" fontId="16" fillId="0" borderId="0" xfId="2" applyNumberFormat="1" applyFont="1" applyFill="1" applyBorder="1" applyAlignment="1">
      <alignment horizontal="center"/>
    </xf>
    <xf numFmtId="0" fontId="17" fillId="0" borderId="0" xfId="13" applyFont="1" applyFill="1" applyBorder="1" applyAlignment="1">
      <alignment horizontal="left" indent="1"/>
    </xf>
    <xf numFmtId="0" fontId="10" fillId="0" borderId="0" xfId="0" applyFont="1" applyAlignment="1">
      <alignment horizontal="right"/>
    </xf>
    <xf numFmtId="164" fontId="10" fillId="0" borderId="44" xfId="9" applyNumberFormat="1" applyFill="1" applyBorder="1"/>
    <xf numFmtId="164" fontId="10" fillId="0" borderId="0" xfId="9" applyNumberFormat="1" applyFill="1" applyBorder="1"/>
    <xf numFmtId="164" fontId="16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164" fontId="10" fillId="0" borderId="0" xfId="9" applyNumberFormat="1" applyFill="1" applyBorder="1" applyAlignment="1"/>
    <xf numFmtId="0" fontId="4" fillId="0" borderId="2" xfId="5" applyAlignment="1"/>
    <xf numFmtId="0" fontId="4" fillId="0" borderId="0" xfId="6" applyBorder="1"/>
    <xf numFmtId="38" fontId="7" fillId="0" borderId="0" xfId="21" applyNumberFormat="1" applyFont="1" applyFill="1" applyBorder="1" applyAlignment="1">
      <alignment horizontal="center" vertical="center"/>
    </xf>
    <xf numFmtId="0" fontId="32" fillId="0" borderId="0" xfId="20" applyFill="1" applyBorder="1" applyAlignment="1">
      <alignment horizontal="center" vertical="center"/>
    </xf>
    <xf numFmtId="0" fontId="4" fillId="0" borderId="0" xfId="5" applyFill="1" applyBorder="1" applyAlignment="1">
      <alignment horizontal="center"/>
    </xf>
    <xf numFmtId="9" fontId="10" fillId="0" borderId="0" xfId="2" applyFont="1" applyBorder="1"/>
    <xf numFmtId="165" fontId="1" fillId="0" borderId="0" xfId="2" applyNumberFormat="1" applyFont="1" applyBorder="1"/>
    <xf numFmtId="165" fontId="1" fillId="0" borderId="0" xfId="9" applyNumberFormat="1" applyFont="1" applyFill="1" applyBorder="1"/>
    <xf numFmtId="165" fontId="0" fillId="0" borderId="0" xfId="0" applyNumberFormat="1" applyFont="1" applyFill="1" applyBorder="1"/>
    <xf numFmtId="0" fontId="1" fillId="0" borderId="0" xfId="9" applyFont="1" applyBorder="1"/>
    <xf numFmtId="165" fontId="1" fillId="0" borderId="0" xfId="2" applyNumberFormat="1" applyFont="1" applyFill="1" applyBorder="1"/>
    <xf numFmtId="9" fontId="10" fillId="0" borderId="0" xfId="2" applyFont="1" applyFill="1" applyBorder="1"/>
    <xf numFmtId="164" fontId="10" fillId="0" borderId="0" xfId="1" applyNumberFormat="1" applyFont="1" applyFill="1" applyBorder="1"/>
    <xf numFmtId="0" fontId="10" fillId="33" borderId="0" xfId="22" applyFont="1" applyBorder="1" applyAlignment="1">
      <alignment horizontal="center"/>
    </xf>
    <xf numFmtId="164" fontId="10" fillId="0" borderId="21" xfId="1" applyNumberFormat="1" applyFont="1" applyFill="1" applyBorder="1"/>
    <xf numFmtId="164" fontId="10" fillId="0" borderId="44" xfId="9" applyNumberFormat="1" applyFont="1" applyBorder="1"/>
    <xf numFmtId="164" fontId="10" fillId="0" borderId="76" xfId="1" applyNumberFormat="1" applyFont="1" applyFill="1" applyBorder="1"/>
    <xf numFmtId="168" fontId="13" fillId="11" borderId="0" xfId="15" applyNumberFormat="1" applyAlignment="1">
      <alignment horizontal="center" vertical="center"/>
    </xf>
    <xf numFmtId="0" fontId="17" fillId="15" borderId="78" xfId="13" applyFont="1" applyFill="1" applyBorder="1" applyAlignment="1">
      <alignment horizontal="left"/>
    </xf>
    <xf numFmtId="0" fontId="10" fillId="0" borderId="4" xfId="9" applyAlignment="1">
      <alignment horizontal="left"/>
    </xf>
    <xf numFmtId="0" fontId="10" fillId="0" borderId="44" xfId="9" applyBorder="1" applyAlignment="1">
      <alignment horizontal="right"/>
    </xf>
    <xf numFmtId="10" fontId="0" fillId="0" borderId="0" xfId="2" applyNumberFormat="1" applyFont="1" applyFill="1"/>
    <xf numFmtId="165" fontId="10" fillId="0" borderId="44" xfId="9" applyNumberFormat="1" applyBorder="1" applyAlignment="1">
      <alignment horizontal="center" vertical="center"/>
    </xf>
    <xf numFmtId="164" fontId="17" fillId="0" borderId="21" xfId="1" applyNumberFormat="1" applyFont="1" applyFill="1" applyBorder="1"/>
    <xf numFmtId="164" fontId="17" fillId="0" borderId="0" xfId="1" applyNumberFormat="1" applyFont="1" applyFill="1" applyBorder="1"/>
    <xf numFmtId="164" fontId="17" fillId="0" borderId="76" xfId="1" applyNumberFormat="1" applyFont="1" applyFill="1" applyBorder="1"/>
    <xf numFmtId="0" fontId="48" fillId="0" borderId="0" xfId="4" applyFont="1" applyBorder="1" applyAlignment="1">
      <alignment horizontal="center"/>
    </xf>
    <xf numFmtId="0" fontId="48" fillId="0" borderId="1" xfId="4" applyFont="1" applyAlignment="1">
      <alignment horizontal="center"/>
    </xf>
    <xf numFmtId="0" fontId="48" fillId="0" borderId="1" xfId="4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4" fillId="0" borderId="1" xfId="4" applyFont="1" applyAlignment="1">
      <alignment horizontal="center"/>
    </xf>
    <xf numFmtId="0" fontId="4" fillId="0" borderId="73" xfId="6" applyBorder="1" applyAlignment="1">
      <alignment horizontal="center"/>
    </xf>
    <xf numFmtId="0" fontId="45" fillId="0" borderId="73" xfId="6" applyFont="1" applyBorder="1" applyAlignment="1">
      <alignment horizontal="center"/>
    </xf>
    <xf numFmtId="0" fontId="4" fillId="0" borderId="74" xfId="6" applyBorder="1" applyAlignment="1">
      <alignment horizontal="center"/>
    </xf>
    <xf numFmtId="0" fontId="3" fillId="0" borderId="1" xfId="4" applyAlignment="1">
      <alignment horizontal="center" vertical="center"/>
    </xf>
    <xf numFmtId="0" fontId="4" fillId="0" borderId="2" xfId="5" applyFill="1" applyAlignment="1">
      <alignment horizontal="center" vertical="center"/>
    </xf>
    <xf numFmtId="0" fontId="4" fillId="0" borderId="5" xfId="5" applyFill="1" applyBorder="1" applyAlignment="1">
      <alignment horizontal="center" vertical="center"/>
    </xf>
    <xf numFmtId="0" fontId="3" fillId="0" borderId="1" xfId="4" applyBorder="1" applyAlignment="1">
      <alignment horizontal="center" vertical="center"/>
    </xf>
    <xf numFmtId="0" fontId="3" fillId="0" borderId="8" xfId="4" applyBorder="1" applyAlignment="1">
      <alignment horizontal="center" vertical="center"/>
    </xf>
    <xf numFmtId="0" fontId="3" fillId="0" borderId="9" xfId="4" applyBorder="1" applyAlignment="1">
      <alignment horizontal="center" vertical="center"/>
    </xf>
    <xf numFmtId="0" fontId="4" fillId="0" borderId="2" xfId="5" applyAlignment="1">
      <alignment horizontal="center" vertical="center"/>
    </xf>
    <xf numFmtId="0" fontId="3" fillId="0" borderId="0" xfId="4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0" fillId="32" borderId="68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69" xfId="0" applyFill="1" applyBorder="1" applyAlignment="1">
      <alignment horizontal="center"/>
    </xf>
    <xf numFmtId="10" fontId="42" fillId="0" borderId="64" xfId="8" applyNumberFormat="1" applyFont="1" applyBorder="1" applyAlignment="1">
      <alignment horizontal="center" vertical="center"/>
    </xf>
    <xf numFmtId="10" fontId="42" fillId="0" borderId="72" xfId="8" applyNumberFormat="1" applyFont="1" applyBorder="1" applyAlignment="1">
      <alignment horizontal="center" vertical="center"/>
    </xf>
    <xf numFmtId="10" fontId="42" fillId="0" borderId="65" xfId="8" applyNumberFormat="1" applyFont="1" applyBorder="1" applyAlignment="1">
      <alignment horizontal="center" vertical="center"/>
    </xf>
    <xf numFmtId="0" fontId="0" fillId="10" borderId="66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67" xfId="0" applyFill="1" applyBorder="1" applyAlignment="1">
      <alignment horizontal="center"/>
    </xf>
    <xf numFmtId="0" fontId="40" fillId="0" borderId="0" xfId="3" applyFont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9" fillId="0" borderId="0" xfId="8" applyBorder="1" applyAlignment="1">
      <alignment horizontal="center" vertical="center"/>
    </xf>
    <xf numFmtId="164" fontId="51" fillId="9" borderId="81" xfId="8" applyNumberFormat="1" applyFont="1" applyFill="1" applyBorder="1" applyAlignment="1">
      <alignment horizontal="center" vertical="center"/>
    </xf>
    <xf numFmtId="164" fontId="51" fillId="9" borderId="82" xfId="8" applyNumberFormat="1" applyFont="1" applyFill="1" applyBorder="1" applyAlignment="1">
      <alignment horizontal="center" vertical="center"/>
    </xf>
    <xf numFmtId="164" fontId="51" fillId="9" borderId="37" xfId="8" applyNumberFormat="1" applyFont="1" applyFill="1" applyBorder="1" applyAlignment="1">
      <alignment horizontal="center" vertical="center"/>
    </xf>
    <xf numFmtId="0" fontId="4" fillId="0" borderId="83" xfId="5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32" fillId="0" borderId="33" xfId="20" applyAlignment="1">
      <alignment horizontal="center" vertical="center"/>
    </xf>
    <xf numFmtId="0" fontId="12" fillId="0" borderId="0" xfId="3" applyFont="1" applyAlignment="1">
      <alignment horizontal="center"/>
    </xf>
    <xf numFmtId="0" fontId="31" fillId="0" borderId="0" xfId="3" applyFont="1" applyFill="1" applyAlignment="1">
      <alignment horizontal="center" vertical="center"/>
    </xf>
  </cellXfs>
  <cellStyles count="23">
    <cellStyle name="20% - Accent1" xfId="22" builtinId="30"/>
    <cellStyle name="Accent2" xfId="19" builtinId="33"/>
    <cellStyle name="Accent3" xfId="21" builtinId="37"/>
    <cellStyle name="Accent5" xfId="10" builtinId="45"/>
    <cellStyle name="Allocation" xfId="13" xr:uid="{00000000-0005-0000-0000-000004000000}"/>
    <cellStyle name="Bad" xfId="18" builtinId="27"/>
    <cellStyle name="Bad 2" xfId="12" xr:uid="{00000000-0005-0000-0000-000006000000}"/>
    <cellStyle name="Currency" xfId="1" builtinId="4"/>
    <cellStyle name="Explanatory Text" xfId="8" builtinId="53"/>
    <cellStyle name="Hardcode/Input" xfId="14" xr:uid="{00000000-0005-0000-0000-000009000000}"/>
    <cellStyle name="Heading 1" xfId="4" builtinId="16"/>
    <cellStyle name="Heading 2" xfId="20" builtinId="17"/>
    <cellStyle name="Heading 3" xfId="5" builtinId="18"/>
    <cellStyle name="Heading 4" xfId="6" builtinId="19"/>
    <cellStyle name="N/A" xfId="15" xr:uid="{00000000-0005-0000-0000-00000E000000}"/>
    <cellStyle name="Normal" xfId="0" builtinId="0"/>
    <cellStyle name="Normal 2" xfId="16" xr:uid="{00000000-0005-0000-0000-000010000000}"/>
    <cellStyle name="Normal 2 2" xfId="11" xr:uid="{00000000-0005-0000-0000-000011000000}"/>
    <cellStyle name="Output" xfId="7" builtinId="21"/>
    <cellStyle name="Percent" xfId="2" builtinId="5"/>
    <cellStyle name="Percent 2" xfId="17" xr:uid="{00000000-0005-0000-0000-000014000000}"/>
    <cellStyle name="Title" xfId="3" builtinId="15"/>
    <cellStyle name="Total" xfId="9" builtinId="25"/>
  </cellStyles>
  <dxfs count="116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BDC0B0"/>
        </patternFill>
      </fill>
    </dxf>
    <dxf>
      <fill>
        <patternFill>
          <bgColor rgb="FFE2C4A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BDC0B0"/>
        </patternFill>
      </fill>
    </dxf>
    <dxf>
      <fill>
        <patternFill>
          <bgColor rgb="FFE2C4A6"/>
        </patternFill>
      </fill>
    </dxf>
    <dxf>
      <fill>
        <patternFill>
          <bgColor rgb="FFBDC0B0"/>
        </patternFill>
      </fill>
    </dxf>
    <dxf>
      <fill>
        <patternFill>
          <bgColor rgb="FFE2C4A6"/>
        </patternFill>
      </fill>
    </dxf>
    <dxf>
      <fill>
        <patternFill>
          <bgColor theme="9" tint="0.59996337778862885"/>
        </patternFill>
      </fill>
    </dxf>
    <dxf>
      <fill>
        <patternFill>
          <bgColor rgb="FFFFD1D1"/>
        </patternFill>
      </fill>
    </dxf>
    <dxf>
      <fill>
        <patternFill>
          <bgColor theme="9" tint="0.59996337778862885"/>
        </patternFill>
      </fill>
    </dxf>
    <dxf>
      <fill>
        <patternFill>
          <bgColor rgb="FFFFD1D1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B7B7"/>
        </patternFill>
      </fill>
    </dxf>
    <dxf>
      <fill>
        <patternFill>
          <bgColor rgb="FFFFAFAF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7EBB59"/>
        </patternFill>
      </fill>
    </dxf>
    <dxf>
      <fill>
        <patternFill>
          <bgColor rgb="FF7EBB59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B5B8A4"/>
      <color rgb="FFDFBE9D"/>
      <color rgb="FFFFC5C5"/>
      <color rgb="FFFFC1C1"/>
      <color rgb="FFFFD1D1"/>
      <color rgb="FF7EBB59"/>
      <color rgb="FF8FC46E"/>
      <color rgb="FF87BE62"/>
      <color rgb="FF6AA343"/>
      <color rgb="FF498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277906</xdr:colOff>
      <xdr:row>58</xdr:row>
      <xdr:rowOff>92573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5764306" cy="10516733"/>
        </a:xfrm>
        <a:prstGeom prst="rect">
          <a:avLst/>
        </a:prstGeom>
      </xdr:spPr>
    </xdr:pic>
    <xdr:clientData/>
  </xdr:twoCellAnchor>
  <xdr:twoCellAnchor editAs="oneCell">
    <xdr:from>
      <xdr:col>10</xdr:col>
      <xdr:colOff>373381</xdr:colOff>
      <xdr:row>1</xdr:row>
      <xdr:rowOff>30479</xdr:rowOff>
    </xdr:from>
    <xdr:to>
      <xdr:col>19</xdr:col>
      <xdr:colOff>275818</xdr:colOff>
      <xdr:row>33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9381" y="213359"/>
          <a:ext cx="5388837" cy="5996941"/>
        </a:xfrm>
        <a:prstGeom prst="rect">
          <a:avLst/>
        </a:prstGeom>
      </xdr:spPr>
    </xdr:pic>
    <xdr:clientData/>
  </xdr:twoCellAnchor>
  <xdr:twoCellAnchor editAs="oneCell">
    <xdr:from>
      <xdr:col>19</xdr:col>
      <xdr:colOff>411480</xdr:colOff>
      <xdr:row>1</xdr:row>
      <xdr:rowOff>30481</xdr:rowOff>
    </xdr:from>
    <xdr:to>
      <xdr:col>27</xdr:col>
      <xdr:colOff>441458</xdr:colOff>
      <xdr:row>16</xdr:row>
      <xdr:rowOff>45721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3880" y="213361"/>
          <a:ext cx="4906778" cy="2758440"/>
        </a:xfrm>
        <a:prstGeom prst="rect">
          <a:avLst/>
        </a:prstGeom>
      </xdr:spPr>
    </xdr:pic>
    <xdr:clientData/>
  </xdr:twoCellAnchor>
  <xdr:twoCellAnchor editAs="oneCell">
    <xdr:from>
      <xdr:col>19</xdr:col>
      <xdr:colOff>335280</xdr:colOff>
      <xdr:row>17</xdr:row>
      <xdr:rowOff>60960</xdr:rowOff>
    </xdr:from>
    <xdr:to>
      <xdr:col>28</xdr:col>
      <xdr:colOff>125070</xdr:colOff>
      <xdr:row>65</xdr:row>
      <xdr:rowOff>158910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17680" y="3169920"/>
          <a:ext cx="5276190" cy="887619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36</xdr:col>
      <xdr:colOff>542324</xdr:colOff>
      <xdr:row>47</xdr:row>
      <xdr:rowOff>168472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678400" y="182880"/>
          <a:ext cx="4809524" cy="8580952"/>
        </a:xfrm>
        <a:prstGeom prst="rect">
          <a:avLst/>
        </a:prstGeom>
      </xdr:spPr>
    </xdr:pic>
    <xdr:clientData/>
  </xdr:twoCellAnchor>
  <xdr:twoCellAnchor editAs="oneCell">
    <xdr:from>
      <xdr:col>37</xdr:col>
      <xdr:colOff>38100</xdr:colOff>
      <xdr:row>1</xdr:row>
      <xdr:rowOff>38100</xdr:rowOff>
    </xdr:from>
    <xdr:to>
      <xdr:col>44</xdr:col>
      <xdr:colOff>160019</xdr:colOff>
      <xdr:row>12</xdr:row>
      <xdr:rowOff>100913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593300" y="220980"/>
          <a:ext cx="4389119" cy="2074493"/>
        </a:xfrm>
        <a:prstGeom prst="rect">
          <a:avLst/>
        </a:prstGeom>
      </xdr:spPr>
    </xdr:pic>
    <xdr:clientData/>
  </xdr:twoCellAnchor>
  <xdr:twoCellAnchor editAs="oneCell">
    <xdr:from>
      <xdr:col>37</xdr:col>
      <xdr:colOff>45720</xdr:colOff>
      <xdr:row>13</xdr:row>
      <xdr:rowOff>106679</xdr:rowOff>
    </xdr:from>
    <xdr:to>
      <xdr:col>44</xdr:col>
      <xdr:colOff>175401</xdr:colOff>
      <xdr:row>34</xdr:row>
      <xdr:rowOff>30480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600920" y="2484119"/>
          <a:ext cx="4396881" cy="3764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BH41"/>
  <sheetViews>
    <sheetView showGridLines="0" tabSelected="1" zoomScale="80" zoomScaleNormal="80" workbookViewId="0">
      <pane xSplit="11" topLeftCell="L1" activePane="topRight" state="frozen"/>
      <selection pane="topRight" activeCell="P35" sqref="P35"/>
    </sheetView>
  </sheetViews>
  <sheetFormatPr defaultColWidth="9.140625" defaultRowHeight="15" outlineLevelCol="1" x14ac:dyDescent="0.25"/>
  <cols>
    <col min="1" max="1" width="40.28515625" customWidth="1"/>
    <col min="2" max="2" width="12.140625" hidden="1" customWidth="1" outlineLevel="1"/>
    <col min="3" max="5" width="10.5703125" hidden="1" customWidth="1" outlineLevel="1"/>
    <col min="6" max="7" width="12.140625" hidden="1" customWidth="1" outlineLevel="1"/>
    <col min="8" max="8" width="9.5703125" hidden="1" customWidth="1" outlineLevel="1"/>
    <col min="9" max="9" width="10.5703125" hidden="1" customWidth="1" outlineLevel="1"/>
    <col min="10" max="10" width="17.85546875" customWidth="1" collapsed="1"/>
    <col min="11" max="11" width="10.7109375" style="3" customWidth="1"/>
    <col min="12" max="12" width="1.85546875" style="43" customWidth="1"/>
    <col min="13" max="14" width="7" customWidth="1"/>
    <col min="15" max="15" width="5" customWidth="1"/>
    <col min="16" max="16" width="7.85546875" customWidth="1"/>
    <col min="17" max="17" width="8.85546875" style="11" customWidth="1"/>
    <col min="18" max="18" width="1.85546875" style="43" customWidth="1"/>
    <col min="19" max="19" width="5.85546875" customWidth="1"/>
    <col min="20" max="20" width="12.28515625" style="6" customWidth="1"/>
    <col min="21" max="21" width="5" customWidth="1"/>
    <col min="22" max="22" width="6.7109375" customWidth="1"/>
    <col min="23" max="23" width="9.28515625" style="172" customWidth="1"/>
    <col min="24" max="24" width="1.85546875" style="43" customWidth="1"/>
    <col min="25" max="25" width="9.42578125" style="6" customWidth="1"/>
    <col min="26" max="26" width="9.5703125" style="172" customWidth="1"/>
    <col min="27" max="27" width="1.85546875" style="11" customWidth="1"/>
    <col min="28" max="28" width="21.85546875" style="11" customWidth="1"/>
    <col min="29" max="29" width="7.28515625" style="11" customWidth="1"/>
    <col min="30" max="30" width="1.85546875" style="43" customWidth="1"/>
    <col min="31" max="31" width="5.85546875" customWidth="1"/>
    <col min="32" max="32" width="7.42578125" customWidth="1"/>
    <col min="33" max="33" width="7" customWidth="1"/>
    <col min="34" max="34" width="6.28515625" customWidth="1"/>
    <col min="35" max="35" width="9.28515625" style="11" customWidth="1"/>
    <col min="36" max="36" width="1.85546875" style="43" customWidth="1"/>
    <col min="37" max="37" width="7" style="6" customWidth="1"/>
    <col min="38" max="38" width="7.42578125" style="6" customWidth="1"/>
    <col min="39" max="39" width="7" style="6" customWidth="1"/>
    <col min="40" max="40" width="8.42578125" style="6" customWidth="1"/>
    <col min="41" max="41" width="9.42578125" style="172" customWidth="1"/>
    <col min="42" max="42" width="1.85546875" style="43" customWidth="1"/>
    <col min="43" max="43" width="15.28515625" customWidth="1"/>
    <col min="44" max="44" width="13.85546875" style="11" customWidth="1"/>
    <col min="45" max="45" width="1.85546875" style="43" customWidth="1"/>
    <col min="46" max="46" width="5.42578125" customWidth="1"/>
    <col min="47" max="47" width="12.28515625" bestFit="1" customWidth="1"/>
    <col min="48" max="48" width="5.28515625" bestFit="1" customWidth="1"/>
    <col min="49" max="49" width="4.28515625" customWidth="1"/>
    <col min="50" max="50" width="9.28515625" style="11" bestFit="1" customWidth="1"/>
    <col min="51" max="51" width="1.85546875" style="11" customWidth="1"/>
    <col min="52" max="52" width="5.7109375" style="43" hidden="1" customWidth="1" outlineLevel="1"/>
    <col min="53" max="58" width="6.42578125" style="85" hidden="1" customWidth="1" outlineLevel="1"/>
    <col min="59" max="59" width="5.42578125" style="43" hidden="1" customWidth="1" outlineLevel="1"/>
    <col min="60" max="60" width="13.42578125" style="85" bestFit="1" customWidth="1" collapsed="1"/>
    <col min="61" max="16384" width="9.140625" style="85"/>
  </cols>
  <sheetData>
    <row r="1" spans="1:60" ht="23.25" x14ac:dyDescent="0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42"/>
      <c r="M1" s="1"/>
      <c r="N1" s="1"/>
      <c r="O1" s="1"/>
      <c r="P1" s="1"/>
      <c r="Q1" s="10"/>
      <c r="R1" s="42"/>
      <c r="S1" s="1"/>
      <c r="T1" s="153"/>
      <c r="U1" s="1"/>
      <c r="V1" s="1"/>
      <c r="W1" s="141"/>
      <c r="X1" s="42"/>
      <c r="Y1" s="153"/>
      <c r="Z1" s="141"/>
      <c r="AA1" s="10"/>
      <c r="AB1" s="10"/>
      <c r="AC1" s="10"/>
      <c r="AD1" s="42"/>
      <c r="AE1" s="1"/>
      <c r="AF1" s="1"/>
      <c r="AG1" s="1"/>
      <c r="AH1" s="1"/>
      <c r="AI1" s="10"/>
      <c r="AJ1" s="42"/>
      <c r="AK1" s="153"/>
      <c r="AL1" s="153"/>
      <c r="AM1" s="153"/>
      <c r="AN1" s="153"/>
      <c r="AO1" s="141"/>
      <c r="AP1" s="42"/>
      <c r="AQ1" s="1"/>
      <c r="AR1" s="10"/>
      <c r="AS1" s="42"/>
      <c r="AT1" s="1"/>
      <c r="AU1" s="1"/>
      <c r="AV1" s="1"/>
      <c r="AW1" s="1"/>
      <c r="AX1" s="10"/>
      <c r="AY1" s="10"/>
    </row>
    <row r="2" spans="1:60" ht="23.25" x14ac:dyDescent="0.25">
      <c r="A2" s="753" t="s">
        <v>695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42"/>
      <c r="M2" s="1"/>
      <c r="N2" s="1"/>
      <c r="O2" s="1"/>
      <c r="P2" s="1"/>
      <c r="Q2" s="10"/>
      <c r="R2" s="42"/>
      <c r="S2" s="1"/>
      <c r="T2" s="153"/>
      <c r="U2" s="1"/>
      <c r="V2" s="1"/>
      <c r="W2" s="141"/>
      <c r="X2" s="42"/>
      <c r="Y2" s="153"/>
      <c r="Z2" s="141"/>
      <c r="AA2" s="10"/>
      <c r="AB2" s="10"/>
      <c r="AC2" s="10"/>
      <c r="AD2" s="42"/>
      <c r="AE2" s="1"/>
      <c r="AF2" s="1"/>
      <c r="AG2" s="1"/>
      <c r="AH2" s="1"/>
      <c r="AI2" s="10"/>
      <c r="AJ2" s="42"/>
      <c r="AK2" s="153"/>
      <c r="AL2" s="153"/>
      <c r="AM2" s="153"/>
      <c r="AN2" s="153"/>
      <c r="AO2" s="141"/>
      <c r="AP2" s="42"/>
      <c r="AQ2" s="1"/>
      <c r="AR2" s="10"/>
      <c r="AS2" s="42"/>
      <c r="AT2" s="1"/>
      <c r="AU2" s="1"/>
      <c r="AV2" s="1"/>
      <c r="AW2" s="1"/>
      <c r="AX2" s="10"/>
      <c r="AY2" s="10"/>
    </row>
    <row r="3" spans="1:60" s="589" customFormat="1" ht="15.75" x14ac:dyDescent="0.25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7"/>
      <c r="M3" s="749" t="s">
        <v>33</v>
      </c>
      <c r="N3" s="749"/>
      <c r="O3" s="749"/>
      <c r="P3" s="749"/>
      <c r="Q3" s="749"/>
      <c r="R3" s="687"/>
      <c r="S3" s="749" t="s">
        <v>34</v>
      </c>
      <c r="T3" s="749"/>
      <c r="U3" s="749"/>
      <c r="V3" s="749"/>
      <c r="W3" s="749"/>
      <c r="X3" s="687"/>
      <c r="Y3" s="749" t="s">
        <v>251</v>
      </c>
      <c r="Z3" s="749"/>
      <c r="AA3" s="688"/>
      <c r="AB3" s="749" t="s">
        <v>252</v>
      </c>
      <c r="AC3" s="749"/>
      <c r="AD3" s="687"/>
      <c r="AE3" s="749" t="s">
        <v>253</v>
      </c>
      <c r="AF3" s="749"/>
      <c r="AG3" s="749"/>
      <c r="AH3" s="749"/>
      <c r="AI3" s="749"/>
      <c r="AJ3" s="687"/>
      <c r="AK3" s="749" t="s">
        <v>254</v>
      </c>
      <c r="AL3" s="749"/>
      <c r="AM3" s="749"/>
      <c r="AN3" s="749"/>
      <c r="AO3" s="749"/>
      <c r="AP3" s="687"/>
      <c r="AQ3" s="749" t="s">
        <v>255</v>
      </c>
      <c r="AR3" s="749"/>
      <c r="AS3" s="687"/>
      <c r="AT3" s="749" t="s">
        <v>256</v>
      </c>
      <c r="AU3" s="749"/>
      <c r="AV3" s="749"/>
      <c r="AW3" s="749"/>
      <c r="AX3" s="749"/>
      <c r="AY3" s="688"/>
    </row>
    <row r="4" spans="1:60" s="588" customFormat="1" ht="16.5" thickBot="1" x14ac:dyDescent="0.3">
      <c r="A4" s="689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687"/>
      <c r="M4" s="750" t="s">
        <v>249</v>
      </c>
      <c r="N4" s="750"/>
      <c r="O4" s="750"/>
      <c r="P4" s="750"/>
      <c r="Q4" s="750"/>
      <c r="R4" s="687"/>
      <c r="S4" s="750" t="s">
        <v>250</v>
      </c>
      <c r="T4" s="750"/>
      <c r="U4" s="750"/>
      <c r="V4" s="750"/>
      <c r="W4" s="750"/>
      <c r="X4" s="687"/>
      <c r="Y4" s="750" t="s">
        <v>260</v>
      </c>
      <c r="Z4" s="750"/>
      <c r="AA4" s="690"/>
      <c r="AB4" s="750" t="s">
        <v>692</v>
      </c>
      <c r="AC4" s="750"/>
      <c r="AD4" s="687"/>
      <c r="AE4" s="750" t="s">
        <v>257</v>
      </c>
      <c r="AF4" s="750"/>
      <c r="AG4" s="750"/>
      <c r="AH4" s="750"/>
      <c r="AI4" s="750"/>
      <c r="AJ4" s="687"/>
      <c r="AK4" s="750" t="s">
        <v>558</v>
      </c>
      <c r="AL4" s="750"/>
      <c r="AM4" s="750"/>
      <c r="AN4" s="750"/>
      <c r="AO4" s="750"/>
      <c r="AP4" s="687"/>
      <c r="AQ4" s="750" t="s">
        <v>258</v>
      </c>
      <c r="AR4" s="750"/>
      <c r="AS4" s="687"/>
      <c r="AT4" s="750" t="s">
        <v>259</v>
      </c>
      <c r="AU4" s="750"/>
      <c r="AV4" s="750"/>
      <c r="AW4" s="750"/>
      <c r="AX4" s="750"/>
      <c r="AY4" s="690"/>
      <c r="AZ4" s="589"/>
      <c r="BA4" s="751" t="s">
        <v>533</v>
      </c>
      <c r="BB4" s="751"/>
      <c r="BC4" s="751"/>
      <c r="BD4" s="751"/>
      <c r="BE4" s="751"/>
      <c r="BF4" s="751"/>
      <c r="BG4" s="751"/>
    </row>
    <row r="5" spans="1:60" s="175" customFormat="1" ht="16.5" customHeight="1" thickTop="1" thickBot="1" x14ac:dyDescent="0.3">
      <c r="A5" s="192" t="s">
        <v>716</v>
      </c>
      <c r="B5" s="152" t="s">
        <v>33</v>
      </c>
      <c r="C5" s="152" t="s">
        <v>34</v>
      </c>
      <c r="D5" s="152" t="s">
        <v>251</v>
      </c>
      <c r="E5" s="152" t="s">
        <v>252</v>
      </c>
      <c r="F5" s="152" t="s">
        <v>253</v>
      </c>
      <c r="G5" s="152" t="s">
        <v>254</v>
      </c>
      <c r="H5" s="152" t="s">
        <v>255</v>
      </c>
      <c r="I5" s="152" t="s">
        <v>256</v>
      </c>
      <c r="J5" s="152" t="s">
        <v>539</v>
      </c>
      <c r="K5" s="152" t="s">
        <v>540</v>
      </c>
      <c r="L5" s="57"/>
      <c r="M5" s="165" t="s">
        <v>4</v>
      </c>
      <c r="N5" s="166" t="s">
        <v>3</v>
      </c>
      <c r="O5" s="193" t="s">
        <v>32</v>
      </c>
      <c r="P5" s="167" t="s">
        <v>6</v>
      </c>
      <c r="Q5" s="168" t="s">
        <v>5</v>
      </c>
      <c r="R5" s="220"/>
      <c r="S5" s="240" t="s">
        <v>4</v>
      </c>
      <c r="T5" s="166" t="s">
        <v>728</v>
      </c>
      <c r="U5" s="193" t="s">
        <v>32</v>
      </c>
      <c r="V5" s="169" t="s">
        <v>6</v>
      </c>
      <c r="W5" s="168" t="s">
        <v>701</v>
      </c>
      <c r="X5" s="220"/>
      <c r="Y5" s="171" t="s">
        <v>262</v>
      </c>
      <c r="Z5" s="170" t="s">
        <v>263</v>
      </c>
      <c r="AA5" s="239"/>
      <c r="AB5" s="171" t="s">
        <v>692</v>
      </c>
      <c r="AC5" s="170" t="s">
        <v>530</v>
      </c>
      <c r="AD5" s="220"/>
      <c r="AE5" s="240" t="s">
        <v>4</v>
      </c>
      <c r="AF5" s="166" t="s">
        <v>3</v>
      </c>
      <c r="AG5" s="166" t="s">
        <v>32</v>
      </c>
      <c r="AH5" s="169" t="s">
        <v>6</v>
      </c>
      <c r="AI5" s="168" t="s">
        <v>5</v>
      </c>
      <c r="AJ5" s="220"/>
      <c r="AK5" s="165" t="s">
        <v>4</v>
      </c>
      <c r="AL5" s="166" t="s">
        <v>3</v>
      </c>
      <c r="AM5" s="166" t="s">
        <v>32</v>
      </c>
      <c r="AN5" s="167" t="s">
        <v>6</v>
      </c>
      <c r="AO5" s="168" t="s">
        <v>5</v>
      </c>
      <c r="AP5" s="220"/>
      <c r="AQ5" s="171" t="s">
        <v>475</v>
      </c>
      <c r="AR5" s="170" t="s">
        <v>476</v>
      </c>
      <c r="AS5" s="220"/>
      <c r="AT5" s="240" t="s">
        <v>4</v>
      </c>
      <c r="AU5" s="166" t="s">
        <v>728</v>
      </c>
      <c r="AV5" s="193" t="s">
        <v>32</v>
      </c>
      <c r="AW5" s="169" t="s">
        <v>6</v>
      </c>
      <c r="AX5" s="168" t="s">
        <v>701</v>
      </c>
      <c r="AY5" s="220"/>
      <c r="AZ5" s="174"/>
      <c r="BA5" s="443"/>
      <c r="BB5" s="443"/>
      <c r="BC5" s="443"/>
      <c r="BD5" s="443"/>
      <c r="BE5" s="443"/>
      <c r="BF5" s="443"/>
      <c r="BG5" s="443"/>
    </row>
    <row r="6" spans="1:60" ht="15.75" thickTop="1" x14ac:dyDescent="0.25">
      <c r="A6" s="206" t="s">
        <v>477</v>
      </c>
      <c r="B6" s="263">
        <f>SUMIF('PC2'!N:N,'Apportionment Bases'!$A6,'PC2'!L:L)</f>
        <v>1240506</v>
      </c>
      <c r="C6" s="155">
        <f>SUMIF('PC5'!N:N,'Apportionment Bases'!A6,'PC5'!L:L)</f>
        <v>0</v>
      </c>
      <c r="D6" s="155">
        <f>SUMIF('PC8'!N:N,'Apportionment Bases'!A6,'PC8'!L:L)</f>
        <v>0</v>
      </c>
      <c r="E6" s="155">
        <f>SUMIF('PC12'!N:N,'Apportionment Bases'!$A$6:$A$33,'PC12'!L:L)</f>
        <v>0</v>
      </c>
      <c r="F6" s="155">
        <f>SUMIF('PC15'!N:N,'Apportionment Bases'!A6,'PC15'!L:L)</f>
        <v>702158</v>
      </c>
      <c r="G6" s="155">
        <f>SUMIF('PC17'!N:N,'Apportionment Bases'!A6,'PC17'!L:L)</f>
        <v>1543656</v>
      </c>
      <c r="H6" s="155">
        <f>SUMIF('PC21'!N:N,'Apportionment Bases'!A6,'PC21'!L:L)</f>
        <v>0</v>
      </c>
      <c r="I6" s="155">
        <f>SUMIF('PC24'!N:N,'Apportionment Bases'!A6,'PC24'!L:L)</f>
        <v>0</v>
      </c>
      <c r="J6" s="381">
        <f>SUM(B6:I6)</f>
        <v>3486320</v>
      </c>
      <c r="K6" s="382">
        <f t="shared" ref="K6:K12" si="0">J6/$J$35</f>
        <v>0.19379344248954244</v>
      </c>
      <c r="L6" s="98"/>
      <c r="M6" s="461">
        <v>0.42199999999999999</v>
      </c>
      <c r="N6" s="462">
        <v>0.48399999999999999</v>
      </c>
      <c r="O6" s="463"/>
      <c r="P6" s="462">
        <v>4.7E-2</v>
      </c>
      <c r="Q6" s="464">
        <v>4.7E-2</v>
      </c>
      <c r="R6" s="126"/>
      <c r="S6" s="436"/>
      <c r="T6" s="488"/>
      <c r="U6" s="488"/>
      <c r="V6" s="488"/>
      <c r="W6" s="489"/>
      <c r="X6" s="126"/>
      <c r="Y6" s="508">
        <v>1</v>
      </c>
      <c r="Z6" s="509">
        <v>0</v>
      </c>
      <c r="AA6" s="161"/>
      <c r="AB6" s="508">
        <v>0.5</v>
      </c>
      <c r="AC6" s="509">
        <v>0.5</v>
      </c>
      <c r="AD6" s="126"/>
      <c r="AE6" s="241"/>
      <c r="AF6" s="462">
        <v>0.625</v>
      </c>
      <c r="AG6" s="462">
        <v>0.13</v>
      </c>
      <c r="AH6" s="463"/>
      <c r="AI6" s="464">
        <v>0.245</v>
      </c>
      <c r="AJ6" s="126"/>
      <c r="AK6" s="543">
        <v>0.48</v>
      </c>
      <c r="AL6" s="544">
        <v>0.375</v>
      </c>
      <c r="AM6" s="544">
        <v>8.4000000000000005E-2</v>
      </c>
      <c r="AN6" s="544">
        <v>3.0499999999999999E-2</v>
      </c>
      <c r="AO6" s="545">
        <v>3.0499999999999999E-2</v>
      </c>
      <c r="AP6" s="126"/>
      <c r="AQ6" s="508">
        <v>0.67</v>
      </c>
      <c r="AR6" s="509">
        <v>0.33</v>
      </c>
      <c r="AS6" s="126"/>
      <c r="AT6" s="432"/>
      <c r="AU6" s="433"/>
      <c r="AV6" s="433"/>
      <c r="AW6" s="433"/>
      <c r="AX6" s="434"/>
      <c r="AY6" s="102"/>
      <c r="AZ6" s="98"/>
      <c r="BA6" s="191">
        <f>COUNTIF('PC2'!N:N,'Apportionment Bases'!A6)</f>
        <v>4</v>
      </c>
      <c r="BB6" s="191">
        <f>COUNTIF('PC5'!N:N,'Apportionment Bases'!A6)</f>
        <v>0</v>
      </c>
      <c r="BC6" s="191">
        <f>COUNTIF('PC8'!N:N,'Apportionment Bases'!A6)</f>
        <v>0</v>
      </c>
      <c r="BD6" s="191">
        <f>COUNTIF('PC15'!N:N,'Apportionment Bases'!A6)</f>
        <v>6</v>
      </c>
      <c r="BE6" s="191">
        <f>COUNTIF('PC21'!N:N,'Apportionment Bases'!A6)</f>
        <v>0</v>
      </c>
      <c r="BF6" s="246">
        <f>COUNTIF('PC24'!N:N,'Apportionment Bases'!A6)</f>
        <v>0</v>
      </c>
      <c r="BG6" s="383">
        <f>SUM(BA6:BF6)</f>
        <v>10</v>
      </c>
      <c r="BH6" s="111"/>
    </row>
    <row r="7" spans="1:60" x14ac:dyDescent="0.25">
      <c r="A7" s="207" t="s">
        <v>478</v>
      </c>
      <c r="B7" s="411">
        <f>SUMIF('PC2'!N:N,'Apportionment Bases'!A7,'PC2'!L:L)</f>
        <v>164994</v>
      </c>
      <c r="C7" s="155">
        <f>SUMIF('PC5'!N:N,'Apportionment Bases'!A7,'PC5'!L:L)</f>
        <v>0</v>
      </c>
      <c r="D7" s="155">
        <f>SUMIF('PC8'!N:N,'Apportionment Bases'!A7,'PC8'!L:L)</f>
        <v>85113</v>
      </c>
      <c r="E7" s="155">
        <f>SUMIF('PC12'!N:N,'Apportionment Bases'!$A$6:$A$33,'PC12'!L:L)</f>
        <v>50586</v>
      </c>
      <c r="F7" s="155">
        <f>SUMIF('PC15'!N:N,'Apportionment Bases'!A7,'PC15'!L:L)</f>
        <v>149952</v>
      </c>
      <c r="G7" s="155">
        <f>SUMIF('PC17'!N:N,'Apportionment Bases'!A7,'PC17'!L:L)</f>
        <v>275893</v>
      </c>
      <c r="H7" s="155">
        <f>SUMIF('PC21'!N:N,'Apportionment Bases'!A7,'PC21'!L:L)</f>
        <v>0</v>
      </c>
      <c r="I7" s="155">
        <f>SUMIF('PC24'!N:N,'Apportionment Bases'!A7,'PC24'!L:L)</f>
        <v>0</v>
      </c>
      <c r="J7" s="381">
        <f t="shared" ref="J7:J33" si="1">SUM(B7:I7)</f>
        <v>726538</v>
      </c>
      <c r="K7" s="382">
        <f t="shared" si="0"/>
        <v>4.0385937068159891E-2</v>
      </c>
      <c r="L7" s="98"/>
      <c r="M7" s="465">
        <v>0.14799999999999999</v>
      </c>
      <c r="N7" s="462">
        <v>0.55000000000000004</v>
      </c>
      <c r="O7" s="463"/>
      <c r="P7" s="462">
        <v>0.151</v>
      </c>
      <c r="Q7" s="464">
        <v>0.151</v>
      </c>
      <c r="R7" s="126"/>
      <c r="S7" s="241"/>
      <c r="T7" s="490"/>
      <c r="U7" s="490"/>
      <c r="V7" s="490"/>
      <c r="W7" s="491"/>
      <c r="X7" s="126"/>
      <c r="Y7" s="508">
        <v>1</v>
      </c>
      <c r="Z7" s="509">
        <v>0</v>
      </c>
      <c r="AA7" s="161"/>
      <c r="AB7" s="508">
        <v>0.5</v>
      </c>
      <c r="AC7" s="509">
        <v>0.5</v>
      </c>
      <c r="AD7" s="126"/>
      <c r="AE7" s="241"/>
      <c r="AF7" s="462">
        <v>0.54300000000000004</v>
      </c>
      <c r="AG7" s="462">
        <v>0.22800000000000001</v>
      </c>
      <c r="AH7" s="463"/>
      <c r="AI7" s="464">
        <v>0.22900000000000001</v>
      </c>
      <c r="AJ7" s="126"/>
      <c r="AK7" s="543">
        <v>0.1095</v>
      </c>
      <c r="AL7" s="544">
        <v>0.41525000000000001</v>
      </c>
      <c r="AM7" s="544">
        <v>0.32724999999999999</v>
      </c>
      <c r="AN7" s="544">
        <v>7.3999999999999996E-2</v>
      </c>
      <c r="AO7" s="545">
        <v>7.3999999999999996E-2</v>
      </c>
      <c r="AP7" s="126"/>
      <c r="AQ7" s="508">
        <v>0.67</v>
      </c>
      <c r="AR7" s="509">
        <v>0.33</v>
      </c>
      <c r="AS7" s="126"/>
      <c r="AT7" s="243"/>
      <c r="AU7" s="185"/>
      <c r="AV7" s="185"/>
      <c r="AW7" s="185"/>
      <c r="AX7" s="435"/>
      <c r="AY7" s="102"/>
      <c r="AZ7" s="98"/>
      <c r="BA7" s="124">
        <f>COUNTIF('PC2'!N:N,'Apportionment Bases'!A7)</f>
        <v>3</v>
      </c>
      <c r="BB7" s="124">
        <f>COUNTIF('PC5'!N:N,'Apportionment Bases'!A7)</f>
        <v>0</v>
      </c>
      <c r="BC7" s="124">
        <f>COUNTIF('PC8'!N:N,'Apportionment Bases'!A7)</f>
        <v>3</v>
      </c>
      <c r="BD7" s="124">
        <f>COUNTIF('PC15'!N:N,'Apportionment Bases'!A7)</f>
        <v>1</v>
      </c>
      <c r="BE7" s="124">
        <f>COUNTIF('PC21'!N:N,'Apportionment Bases'!A7)</f>
        <v>0</v>
      </c>
      <c r="BF7" s="247">
        <f>COUNTIF('PC24'!N:N,'Apportionment Bases'!A7)</f>
        <v>0</v>
      </c>
      <c r="BG7" s="383">
        <f t="shared" ref="BG7:BG33" si="2">SUM(BA7:BF7)</f>
        <v>7</v>
      </c>
      <c r="BH7" s="111"/>
    </row>
    <row r="8" spans="1:60" s="326" customFormat="1" x14ac:dyDescent="0.25">
      <c r="A8" s="207" t="s">
        <v>479</v>
      </c>
      <c r="B8" s="411">
        <f>SUMIF('PC2'!N:N,'Apportionment Bases'!A8,'PC2'!L:L)</f>
        <v>939162</v>
      </c>
      <c r="C8" s="155">
        <f>SUMIF('PC5'!N:N,'Apportionment Bases'!A8,'PC5'!L:L)</f>
        <v>0</v>
      </c>
      <c r="D8" s="155">
        <f>SUMIF('PC8'!N:N,'Apportionment Bases'!A8,'PC8'!L:L)</f>
        <v>0</v>
      </c>
      <c r="E8" s="155">
        <f>SUMIF('PC12'!N:N,'Apportionment Bases'!$A$6:$A$33,'PC12'!L:L)</f>
        <v>0</v>
      </c>
      <c r="F8" s="155">
        <f>SUMIF('PC15'!N:N,'Apportionment Bases'!A8,'PC15'!L:L)</f>
        <v>534204</v>
      </c>
      <c r="G8" s="155">
        <f>SUMIF('PC17'!N:N,'Apportionment Bases'!A8,'PC17'!L:L)</f>
        <v>1419802</v>
      </c>
      <c r="H8" s="155">
        <f>SUMIF('PC21'!N:N,'Apportionment Bases'!A8,'PC21'!L:L)</f>
        <v>0</v>
      </c>
      <c r="I8" s="155">
        <f>SUMIF('PC24'!N:N,'Apportionment Bases'!A8,'PC24'!L:L)</f>
        <v>0</v>
      </c>
      <c r="J8" s="381">
        <f t="shared" si="1"/>
        <v>2893168</v>
      </c>
      <c r="K8" s="382">
        <f t="shared" si="0"/>
        <v>0.16082200900106261</v>
      </c>
      <c r="L8" s="98"/>
      <c r="M8" s="465">
        <f>M6</f>
        <v>0.42199999999999999</v>
      </c>
      <c r="N8" s="462">
        <f>N6</f>
        <v>0.48399999999999999</v>
      </c>
      <c r="O8" s="463"/>
      <c r="P8" s="462">
        <f>P6</f>
        <v>4.7E-2</v>
      </c>
      <c r="Q8" s="464">
        <f>Q6</f>
        <v>4.7E-2</v>
      </c>
      <c r="R8" s="126"/>
      <c r="S8" s="241"/>
      <c r="T8" s="490"/>
      <c r="U8" s="490"/>
      <c r="V8" s="490"/>
      <c r="W8" s="491"/>
      <c r="X8" s="126"/>
      <c r="Y8" s="508">
        <v>1</v>
      </c>
      <c r="Z8" s="509">
        <v>0</v>
      </c>
      <c r="AA8" s="161"/>
      <c r="AB8" s="508">
        <v>0.5</v>
      </c>
      <c r="AC8" s="509">
        <v>0.5</v>
      </c>
      <c r="AD8" s="126"/>
      <c r="AE8" s="241"/>
      <c r="AF8" s="462">
        <f>AF6</f>
        <v>0.625</v>
      </c>
      <c r="AG8" s="462">
        <f>AG6</f>
        <v>0.13</v>
      </c>
      <c r="AH8" s="463"/>
      <c r="AI8" s="464">
        <f>AI6</f>
        <v>0.245</v>
      </c>
      <c r="AJ8" s="126"/>
      <c r="AK8" s="543">
        <f>AK6</f>
        <v>0.48</v>
      </c>
      <c r="AL8" s="544">
        <f>AL6</f>
        <v>0.375</v>
      </c>
      <c r="AM8" s="544">
        <f>AM6</f>
        <v>8.4000000000000005E-2</v>
      </c>
      <c r="AN8" s="544">
        <f>AN6</f>
        <v>3.0499999999999999E-2</v>
      </c>
      <c r="AO8" s="545">
        <f>AO6</f>
        <v>3.0499999999999999E-2</v>
      </c>
      <c r="AP8" s="126"/>
      <c r="AQ8" s="508">
        <v>0.67</v>
      </c>
      <c r="AR8" s="509">
        <v>0.33</v>
      </c>
      <c r="AS8" s="126"/>
      <c r="AT8" s="243"/>
      <c r="AU8" s="185"/>
      <c r="AV8" s="185"/>
      <c r="AW8" s="185"/>
      <c r="AX8" s="435"/>
      <c r="AY8" s="102"/>
      <c r="AZ8" s="98"/>
      <c r="BA8" s="124">
        <f>COUNTIF('PC2'!N:N,'Apportionment Bases'!A8)</f>
        <v>6</v>
      </c>
      <c r="BB8" s="124">
        <f>COUNTIF('PC5'!N:N,'Apportionment Bases'!A8)</f>
        <v>0</v>
      </c>
      <c r="BC8" s="124">
        <f>COUNTIF('PC8'!N:N,'Apportionment Bases'!A8)</f>
        <v>0</v>
      </c>
      <c r="BD8" s="124">
        <f>COUNTIF('PC15'!N:N,'Apportionment Bases'!A8)</f>
        <v>6</v>
      </c>
      <c r="BE8" s="124">
        <f>COUNTIF('PC21'!N:N,'Apportionment Bases'!A8)</f>
        <v>0</v>
      </c>
      <c r="BF8" s="247">
        <f>COUNTIF('PC24'!N:N,'Apportionment Bases'!A8)</f>
        <v>0</v>
      </c>
      <c r="BG8" s="383">
        <f t="shared" si="2"/>
        <v>12</v>
      </c>
      <c r="BH8" s="111"/>
    </row>
    <row r="9" spans="1:60" s="326" customFormat="1" x14ac:dyDescent="0.25">
      <c r="A9" s="207" t="s">
        <v>480</v>
      </c>
      <c r="B9" s="411">
        <f>SUMIF('PC2'!N:N,'Apportionment Bases'!A9,'PC2'!L:L)</f>
        <v>121090</v>
      </c>
      <c r="C9" s="155">
        <f>SUMIF('PC5'!N:N,'Apportionment Bases'!A9,'PC5'!L:L)</f>
        <v>0</v>
      </c>
      <c r="D9" s="155">
        <f>SUMIF('PC8'!N:N,'Apportionment Bases'!A9,'PC8'!L:L)</f>
        <v>61961</v>
      </c>
      <c r="E9" s="155">
        <f>SUMIF('PC12'!N:N,'Apportionment Bases'!$A$6:$A$33,'PC12'!L:L)</f>
        <v>37238</v>
      </c>
      <c r="F9" s="155">
        <f>SUMIF('PC15'!N:N,'Apportionment Bases'!A9,'PC15'!L:L)</f>
        <v>111264</v>
      </c>
      <c r="G9" s="155">
        <f>SUMIF('PC17'!N:N,'Apportionment Bases'!A9,'PC17'!L:L)</f>
        <v>210287</v>
      </c>
      <c r="H9" s="155">
        <f>SUMIF('PC21'!N:N,'Apportionment Bases'!A9,'PC21'!L:L)</f>
        <v>0</v>
      </c>
      <c r="I9" s="155">
        <f>SUMIF('PC24'!N:N,'Apportionment Bases'!A9,'PC24'!L:L)</f>
        <v>0</v>
      </c>
      <c r="J9" s="381">
        <f t="shared" si="1"/>
        <v>541840</v>
      </c>
      <c r="K9" s="382">
        <f t="shared" si="0"/>
        <v>3.0119162577885474E-2</v>
      </c>
      <c r="L9" s="98"/>
      <c r="M9" s="465">
        <f>M7</f>
        <v>0.14799999999999999</v>
      </c>
      <c r="N9" s="462">
        <f>N7</f>
        <v>0.55000000000000004</v>
      </c>
      <c r="O9" s="463"/>
      <c r="P9" s="462">
        <f>P7</f>
        <v>0.151</v>
      </c>
      <c r="Q9" s="464">
        <f>Q7</f>
        <v>0.151</v>
      </c>
      <c r="R9" s="126"/>
      <c r="S9" s="241"/>
      <c r="T9" s="490"/>
      <c r="U9" s="490"/>
      <c r="V9" s="490"/>
      <c r="W9" s="491"/>
      <c r="X9" s="126"/>
      <c r="Y9" s="508">
        <v>1</v>
      </c>
      <c r="Z9" s="509">
        <v>0</v>
      </c>
      <c r="AA9" s="161"/>
      <c r="AB9" s="508">
        <v>0.5</v>
      </c>
      <c r="AC9" s="509">
        <v>0.5</v>
      </c>
      <c r="AD9" s="126"/>
      <c r="AE9" s="241"/>
      <c r="AF9" s="462">
        <f>AF7</f>
        <v>0.54300000000000004</v>
      </c>
      <c r="AG9" s="462">
        <f>AG7</f>
        <v>0.22800000000000001</v>
      </c>
      <c r="AH9" s="463"/>
      <c r="AI9" s="464">
        <f>AI7</f>
        <v>0.22900000000000001</v>
      </c>
      <c r="AJ9" s="126"/>
      <c r="AK9" s="543">
        <f>AK7</f>
        <v>0.1095</v>
      </c>
      <c r="AL9" s="544">
        <f>AL7</f>
        <v>0.41525000000000001</v>
      </c>
      <c r="AM9" s="544">
        <f t="shared" ref="AM9:AN9" si="3">AM7</f>
        <v>0.32724999999999999</v>
      </c>
      <c r="AN9" s="544">
        <f t="shared" si="3"/>
        <v>7.3999999999999996E-2</v>
      </c>
      <c r="AO9" s="545">
        <f>AO7</f>
        <v>7.3999999999999996E-2</v>
      </c>
      <c r="AP9" s="126"/>
      <c r="AQ9" s="508">
        <v>0.67</v>
      </c>
      <c r="AR9" s="509">
        <v>0.33</v>
      </c>
      <c r="AS9" s="126"/>
      <c r="AT9" s="243"/>
      <c r="AU9" s="185"/>
      <c r="AV9" s="185"/>
      <c r="AW9" s="185"/>
      <c r="AX9" s="435"/>
      <c r="AY9" s="102"/>
      <c r="AZ9" s="98"/>
      <c r="BA9" s="124">
        <f>COUNTIF('PC2'!N:N,'Apportionment Bases'!A9)</f>
        <v>4</v>
      </c>
      <c r="BB9" s="124">
        <f>COUNTIF('PC5'!N:N,'Apportionment Bases'!A9)</f>
        <v>0</v>
      </c>
      <c r="BC9" s="124">
        <f>COUNTIF('PC8'!N:N,'Apportionment Bases'!A9)</f>
        <v>1</v>
      </c>
      <c r="BD9" s="124">
        <f>COUNTIF('PC15'!N:N,'Apportionment Bases'!A9)</f>
        <v>1</v>
      </c>
      <c r="BE9" s="124">
        <f>COUNTIF('PC21'!N:N,'Apportionment Bases'!A9)</f>
        <v>0</v>
      </c>
      <c r="BF9" s="247">
        <f>COUNTIF('PC24'!N:N,'Apportionment Bases'!A9)</f>
        <v>0</v>
      </c>
      <c r="BG9" s="383">
        <f t="shared" si="2"/>
        <v>6</v>
      </c>
      <c r="BH9" s="111"/>
    </row>
    <row r="10" spans="1:60" x14ac:dyDescent="0.25">
      <c r="A10" s="207" t="s">
        <v>531</v>
      </c>
      <c r="B10" s="411">
        <f>SUMIF('PC2'!N:N,'Apportionment Bases'!A10,'PC2'!L:L)</f>
        <v>21910</v>
      </c>
      <c r="C10" s="155">
        <f>SUMIF('PC5'!N:N,'Apportionment Bases'!A10,'PC5'!L:L)</f>
        <v>0</v>
      </c>
      <c r="D10" s="155">
        <f>SUMIF('PC8'!N:N,'Apportionment Bases'!A10,'PC8'!L:L)</f>
        <v>0</v>
      </c>
      <c r="E10" s="155">
        <f>SUMIF('PC12'!N:N,'Apportionment Bases'!$A$6:$A$33,'PC12'!L:L)</f>
        <v>0</v>
      </c>
      <c r="F10" s="155">
        <f>SUMIF('PC15'!N:N,'Apportionment Bases'!A10,'PC15'!L:L)</f>
        <v>10921</v>
      </c>
      <c r="G10" s="155">
        <f>SUMIF('PC17'!N:N,'Apportionment Bases'!A10,'PC17'!L:L)</f>
        <v>39145</v>
      </c>
      <c r="H10" s="155">
        <f>SUMIF('PC21'!N:N,'Apportionment Bases'!A10,'PC21'!L:L)</f>
        <v>0</v>
      </c>
      <c r="I10" s="155">
        <f>SUMIF('PC24'!N:N,'Apportionment Bases'!A10,'PC24'!L:L)</f>
        <v>0</v>
      </c>
      <c r="J10" s="381">
        <f t="shared" si="1"/>
        <v>71976</v>
      </c>
      <c r="K10" s="382">
        <f t="shared" si="0"/>
        <v>4.0009169601836056E-3</v>
      </c>
      <c r="L10" s="98"/>
      <c r="M10" s="465">
        <v>0.42199999999999999</v>
      </c>
      <c r="N10" s="462">
        <v>0.48399999999999999</v>
      </c>
      <c r="O10" s="463"/>
      <c r="P10" s="462">
        <v>4.7E-2</v>
      </c>
      <c r="Q10" s="464">
        <v>4.7E-2</v>
      </c>
      <c r="R10" s="126"/>
      <c r="S10" s="241"/>
      <c r="T10" s="490"/>
      <c r="U10" s="490"/>
      <c r="V10" s="490"/>
      <c r="W10" s="491"/>
      <c r="X10" s="126"/>
      <c r="Y10" s="508">
        <v>1</v>
      </c>
      <c r="Z10" s="509">
        <v>0</v>
      </c>
      <c r="AA10" s="161"/>
      <c r="AB10" s="508">
        <v>0.5</v>
      </c>
      <c r="AC10" s="509">
        <v>0.5</v>
      </c>
      <c r="AD10" s="126"/>
      <c r="AE10" s="241"/>
      <c r="AF10" s="462">
        <f>AF6</f>
        <v>0.625</v>
      </c>
      <c r="AG10" s="462">
        <f t="shared" ref="AG10:AI11" si="4">AG6</f>
        <v>0.13</v>
      </c>
      <c r="AH10" s="463"/>
      <c r="AI10" s="464">
        <f t="shared" si="4"/>
        <v>0.245</v>
      </c>
      <c r="AJ10" s="126"/>
      <c r="AK10" s="543">
        <f>AK6</f>
        <v>0.48</v>
      </c>
      <c r="AL10" s="544">
        <f t="shared" ref="AL10:AO10" si="5">AL6</f>
        <v>0.375</v>
      </c>
      <c r="AM10" s="544">
        <f t="shared" si="5"/>
        <v>8.4000000000000005E-2</v>
      </c>
      <c r="AN10" s="544">
        <f t="shared" si="5"/>
        <v>3.0499999999999999E-2</v>
      </c>
      <c r="AO10" s="545">
        <f t="shared" si="5"/>
        <v>3.0499999999999999E-2</v>
      </c>
      <c r="AP10" s="126"/>
      <c r="AQ10" s="520"/>
      <c r="AR10" s="521"/>
      <c r="AS10" s="126"/>
      <c r="AT10" s="243"/>
      <c r="AU10" s="185"/>
      <c r="AV10" s="185"/>
      <c r="AW10" s="185"/>
      <c r="AX10" s="435"/>
      <c r="AY10" s="102"/>
      <c r="AZ10" s="98"/>
      <c r="BA10" s="124">
        <f>COUNTIF('PC2'!N:N,'Apportionment Bases'!A10)</f>
        <v>1</v>
      </c>
      <c r="BB10" s="124">
        <f>COUNTIF('PC5'!N:N,'Apportionment Bases'!A10)</f>
        <v>0</v>
      </c>
      <c r="BC10" s="124">
        <f>COUNTIF('PC8'!N:N,'Apportionment Bases'!A10)</f>
        <v>1</v>
      </c>
      <c r="BD10" s="124">
        <f>COUNTIF('PC15'!N:N,'Apportionment Bases'!A10)</f>
        <v>2</v>
      </c>
      <c r="BE10" s="124">
        <f>COUNTIF('PC21'!N:N,'Apportionment Bases'!A10)</f>
        <v>0</v>
      </c>
      <c r="BF10" s="247">
        <f>COUNTIF('PC24'!N:N,'Apportionment Bases'!A10)</f>
        <v>0</v>
      </c>
      <c r="BG10" s="383">
        <f t="shared" si="2"/>
        <v>4</v>
      </c>
      <c r="BH10" s="111"/>
    </row>
    <row r="11" spans="1:60" x14ac:dyDescent="0.25">
      <c r="A11" s="207" t="s">
        <v>532</v>
      </c>
      <c r="B11" s="411">
        <f>SUMIF('PC2'!N:N,'Apportionment Bases'!A11,'PC2'!L:L)</f>
        <v>200</v>
      </c>
      <c r="C11" s="155">
        <f>SUMIF('PC5'!N:N,'Apportionment Bases'!A11,'PC5'!L:L)</f>
        <v>0</v>
      </c>
      <c r="D11" s="155">
        <f>SUMIF('PC8'!N:N,'Apportionment Bases'!A11,'PC8'!L:L)</f>
        <v>0</v>
      </c>
      <c r="E11" s="155">
        <f>SUMIF('PC12'!N:N,'Apportionment Bases'!$A$6:$A$33,'PC12'!L:L)</f>
        <v>0</v>
      </c>
      <c r="F11" s="155">
        <f>SUMIF('PC15'!N:N,'Apportionment Bases'!A11,'PC15'!L:L)</f>
        <v>200</v>
      </c>
      <c r="G11" s="155">
        <f>SUMIF('PC17'!N:N,'Apportionment Bases'!A11,'PC17'!L:L)</f>
        <v>200</v>
      </c>
      <c r="H11" s="155">
        <f>SUMIF('PC21'!N:N,'Apportionment Bases'!A11,'PC21'!L:L)</f>
        <v>0</v>
      </c>
      <c r="I11" s="155">
        <f>SUMIF('PC24'!N:N,'Apportionment Bases'!A11,'PC24'!L:L)</f>
        <v>0</v>
      </c>
      <c r="J11" s="381">
        <f t="shared" si="1"/>
        <v>600</v>
      </c>
      <c r="K11" s="382">
        <f t="shared" si="0"/>
        <v>3.3352092032207445E-5</v>
      </c>
      <c r="L11" s="98"/>
      <c r="M11" s="465">
        <f>M7</f>
        <v>0.14799999999999999</v>
      </c>
      <c r="N11" s="462">
        <f t="shared" ref="N11:Q11" si="6">N7</f>
        <v>0.55000000000000004</v>
      </c>
      <c r="O11" s="463"/>
      <c r="P11" s="462">
        <f t="shared" si="6"/>
        <v>0.151</v>
      </c>
      <c r="Q11" s="464">
        <f t="shared" si="6"/>
        <v>0.151</v>
      </c>
      <c r="R11" s="126"/>
      <c r="S11" s="241"/>
      <c r="T11" s="490"/>
      <c r="U11" s="490"/>
      <c r="V11" s="490"/>
      <c r="W11" s="491"/>
      <c r="X11" s="126"/>
      <c r="Y11" s="508">
        <v>1</v>
      </c>
      <c r="Z11" s="509">
        <v>0</v>
      </c>
      <c r="AA11" s="161"/>
      <c r="AB11" s="508">
        <v>0.5</v>
      </c>
      <c r="AC11" s="509">
        <v>0.5</v>
      </c>
      <c r="AD11" s="126"/>
      <c r="AE11" s="241"/>
      <c r="AF11" s="462">
        <f>AF7</f>
        <v>0.54300000000000004</v>
      </c>
      <c r="AG11" s="462">
        <f t="shared" si="4"/>
        <v>0.22800000000000001</v>
      </c>
      <c r="AH11" s="463"/>
      <c r="AI11" s="464">
        <f t="shared" si="4"/>
        <v>0.22900000000000001</v>
      </c>
      <c r="AJ11" s="126"/>
      <c r="AK11" s="543">
        <f>AK7</f>
        <v>0.1095</v>
      </c>
      <c r="AL11" s="544">
        <f t="shared" ref="AL11:AO11" si="7">AL7</f>
        <v>0.41525000000000001</v>
      </c>
      <c r="AM11" s="544">
        <f t="shared" si="7"/>
        <v>0.32724999999999999</v>
      </c>
      <c r="AN11" s="544">
        <f t="shared" si="7"/>
        <v>7.3999999999999996E-2</v>
      </c>
      <c r="AO11" s="545">
        <f t="shared" si="7"/>
        <v>7.3999999999999996E-2</v>
      </c>
      <c r="AP11" s="126"/>
      <c r="AQ11" s="520"/>
      <c r="AR11" s="521"/>
      <c r="AS11" s="126"/>
      <c r="AT11" s="243"/>
      <c r="AU11" s="185"/>
      <c r="AV11" s="185"/>
      <c r="AW11" s="185"/>
      <c r="AX11" s="435"/>
      <c r="AY11" s="102"/>
      <c r="AZ11" s="98"/>
      <c r="BA11" s="124">
        <f>COUNTIF('PC2'!N:N,'Apportionment Bases'!A11)</f>
        <v>2</v>
      </c>
      <c r="BB11" s="124">
        <f>COUNTIF('PC5'!N:N,'Apportionment Bases'!A11)</f>
        <v>0</v>
      </c>
      <c r="BC11" s="124">
        <f>COUNTIF('PC8'!N:N,'Apportionment Bases'!A11)</f>
        <v>0</v>
      </c>
      <c r="BD11" s="124">
        <f>COUNTIF('PC15'!N:N,'Apportionment Bases'!A11)</f>
        <v>1</v>
      </c>
      <c r="BE11" s="124">
        <f>COUNTIF('PC21'!N:N,'Apportionment Bases'!A11)</f>
        <v>0</v>
      </c>
      <c r="BF11" s="247">
        <f>COUNTIF('PC24'!N:N,'Apportionment Bases'!A11)</f>
        <v>0</v>
      </c>
      <c r="BG11" s="383">
        <f t="shared" si="2"/>
        <v>3</v>
      </c>
      <c r="BH11" s="111"/>
    </row>
    <row r="12" spans="1:60" x14ac:dyDescent="0.25">
      <c r="A12" s="207" t="s">
        <v>31</v>
      </c>
      <c r="B12" s="411">
        <f>SUMIF('PC2'!N:N,'Apportionment Bases'!A12,'PC2'!L:L)</f>
        <v>0</v>
      </c>
      <c r="C12" s="155">
        <f>SUMIF('PC5'!N:N,'Apportionment Bases'!A12,'PC5'!L:L)</f>
        <v>0</v>
      </c>
      <c r="D12" s="155">
        <f>SUMIF('PC8'!N:N,'Apportionment Bases'!A12,'PC8'!L:L)</f>
        <v>0</v>
      </c>
      <c r="E12" s="155">
        <f>SUMIF('PC12'!N:N,'Apportionment Bases'!$A$6:$A$33,'PC12'!L:L)</f>
        <v>0</v>
      </c>
      <c r="F12" s="155">
        <f>SUMIF('PC15'!N:N,'Apportionment Bases'!A12,'PC15'!L:L)</f>
        <v>0</v>
      </c>
      <c r="G12" s="155">
        <f>SUMIF('PC17'!N:N,'Apportionment Bases'!A12,'PC17'!L:L)</f>
        <v>0</v>
      </c>
      <c r="H12" s="155">
        <f>SUMIF('PC21'!N:N,'Apportionment Bases'!A12,'PC21'!L:L)</f>
        <v>0</v>
      </c>
      <c r="I12" s="155">
        <f>SUMIF('PC24'!N:N,'Apportionment Bases'!A12,'PC24'!L:L)</f>
        <v>0</v>
      </c>
      <c r="J12" s="381">
        <f t="shared" si="1"/>
        <v>0</v>
      </c>
      <c r="K12" s="382">
        <f t="shared" si="0"/>
        <v>0</v>
      </c>
      <c r="L12" s="98"/>
      <c r="M12" s="465">
        <v>0</v>
      </c>
      <c r="N12" s="462">
        <v>0</v>
      </c>
      <c r="O12" s="463"/>
      <c r="P12" s="462">
        <v>0.5</v>
      </c>
      <c r="Q12" s="464">
        <v>0.5</v>
      </c>
      <c r="R12" s="126"/>
      <c r="S12" s="241"/>
      <c r="T12" s="490"/>
      <c r="U12" s="490"/>
      <c r="V12" s="490"/>
      <c r="W12" s="491"/>
      <c r="X12" s="126"/>
      <c r="Y12" s="508">
        <v>1</v>
      </c>
      <c r="Z12" s="509">
        <v>0</v>
      </c>
      <c r="AA12" s="161"/>
      <c r="AB12" s="520"/>
      <c r="AC12" s="521"/>
      <c r="AD12" s="126"/>
      <c r="AE12" s="241"/>
      <c r="AF12" s="462">
        <v>0</v>
      </c>
      <c r="AG12" s="462">
        <v>0</v>
      </c>
      <c r="AH12" s="463"/>
      <c r="AI12" s="464">
        <v>1</v>
      </c>
      <c r="AJ12" s="126"/>
      <c r="AK12" s="508">
        <v>0</v>
      </c>
      <c r="AL12" s="546">
        <v>0</v>
      </c>
      <c r="AM12" s="546">
        <v>0</v>
      </c>
      <c r="AN12" s="546">
        <v>0.5</v>
      </c>
      <c r="AO12" s="509">
        <v>0.5</v>
      </c>
      <c r="AP12" s="126"/>
      <c r="AQ12" s="520"/>
      <c r="AR12" s="521"/>
      <c r="AS12" s="126"/>
      <c r="AT12" s="243"/>
      <c r="AU12" s="185"/>
      <c r="AV12" s="185"/>
      <c r="AW12" s="185"/>
      <c r="AX12" s="435"/>
      <c r="AY12" s="37"/>
      <c r="AZ12" s="98"/>
      <c r="BA12" s="124">
        <f>COUNTIF('PC2'!N:N,'Apportionment Bases'!A12)</f>
        <v>0</v>
      </c>
      <c r="BB12" s="124">
        <f>COUNTIF('PC5'!N:N,'Apportionment Bases'!A12)</f>
        <v>0</v>
      </c>
      <c r="BC12" s="124">
        <f>COUNTIF('PC8'!N:N,'Apportionment Bases'!A12)</f>
        <v>0</v>
      </c>
      <c r="BD12" s="124">
        <f>COUNTIF('PC15'!N:N,'Apportionment Bases'!A12)</f>
        <v>0</v>
      </c>
      <c r="BE12" s="124">
        <f>COUNTIF('PC21'!N:N,'Apportionment Bases'!A12)</f>
        <v>0</v>
      </c>
      <c r="BF12" s="247">
        <f>COUNTIF('PC24'!N:N,'Apportionment Bases'!A12)</f>
        <v>0</v>
      </c>
      <c r="BG12" s="383">
        <f t="shared" si="2"/>
        <v>0</v>
      </c>
      <c r="BH12" s="111"/>
    </row>
    <row r="13" spans="1:60" s="43" customFormat="1" ht="5.25" customHeight="1" x14ac:dyDescent="0.25">
      <c r="A13" s="349"/>
      <c r="B13" s="350"/>
      <c r="C13" s="351"/>
      <c r="D13" s="351"/>
      <c r="E13" s="352"/>
      <c r="F13" s="351"/>
      <c r="G13" s="351"/>
      <c r="H13" s="351"/>
      <c r="I13" s="351"/>
      <c r="J13" s="384"/>
      <c r="K13" s="385"/>
      <c r="L13" s="98"/>
      <c r="M13" s="466"/>
      <c r="N13" s="467"/>
      <c r="O13" s="468"/>
      <c r="P13" s="467"/>
      <c r="Q13" s="469"/>
      <c r="R13" s="126"/>
      <c r="S13" s="360"/>
      <c r="T13" s="492"/>
      <c r="U13" s="493"/>
      <c r="V13" s="493"/>
      <c r="W13" s="494"/>
      <c r="X13" s="126"/>
      <c r="Y13" s="510"/>
      <c r="Z13" s="494"/>
      <c r="AA13" s="161"/>
      <c r="AB13" s="522"/>
      <c r="AC13" s="523"/>
      <c r="AD13" s="126"/>
      <c r="AE13" s="360"/>
      <c r="AF13" s="467"/>
      <c r="AG13" s="467"/>
      <c r="AH13" s="468"/>
      <c r="AI13" s="469"/>
      <c r="AJ13" s="126"/>
      <c r="AK13" s="510"/>
      <c r="AL13" s="492"/>
      <c r="AM13" s="492"/>
      <c r="AN13" s="492"/>
      <c r="AO13" s="494"/>
      <c r="AP13" s="126"/>
      <c r="AQ13" s="553"/>
      <c r="AR13" s="554"/>
      <c r="AS13" s="126"/>
      <c r="AT13" s="357"/>
      <c r="AU13" s="361"/>
      <c r="AV13" s="358"/>
      <c r="AW13" s="358"/>
      <c r="AX13" s="362"/>
      <c r="AY13" s="37"/>
      <c r="AZ13" s="98"/>
      <c r="BA13" s="353"/>
      <c r="BB13" s="353"/>
      <c r="BC13" s="353"/>
      <c r="BD13" s="353"/>
      <c r="BE13" s="353"/>
      <c r="BF13" s="354"/>
      <c r="BG13" s="386"/>
      <c r="BH13" s="111"/>
    </row>
    <row r="14" spans="1:60" x14ac:dyDescent="0.25">
      <c r="A14" s="208" t="s">
        <v>705</v>
      </c>
      <c r="B14" s="264">
        <f>SUMIF('PC2'!N:N,'Apportionment Bases'!A14,'PC2'!L:L)</f>
        <v>860140</v>
      </c>
      <c r="C14" s="156">
        <f>SUMIF('PC5'!N:N,'Apportionment Bases'!A14,'PC5'!L:L)</f>
        <v>0</v>
      </c>
      <c r="D14" s="156">
        <f>SUMIF('PC8'!N:N,'Apportionment Bases'!A14,'PC8'!L:L)</f>
        <v>40427</v>
      </c>
      <c r="E14" s="156">
        <f>SUMIF('PC12'!N:N,'Apportionment Bases'!$A$6:$A$33,'PC12'!L:L)</f>
        <v>0</v>
      </c>
      <c r="F14" s="156">
        <f>SUMIF('PC15'!N:N,'Apportionment Bases'!A14,'PC15'!L:L)</f>
        <v>592187</v>
      </c>
      <c r="G14" s="156">
        <f>SUMIF('PC17'!N:N,'Apportionment Bases'!A14,'PC17'!L:L)</f>
        <v>996565</v>
      </c>
      <c r="H14" s="156">
        <f>SUMIF('PC21'!N:N,'Apportionment Bases'!A14,'PC21'!L:L)</f>
        <v>0</v>
      </c>
      <c r="I14" s="156">
        <f>SUMIF('PC24'!N:N,'Apportionment Bases'!A14,'PC24'!L:L)</f>
        <v>0</v>
      </c>
      <c r="J14" s="387">
        <f>SUM(B14:I14)</f>
        <v>2489319</v>
      </c>
      <c r="K14" s="388">
        <f>J14/$J$35</f>
        <v>0.13837332730920435</v>
      </c>
      <c r="L14" s="98"/>
      <c r="M14" s="470">
        <v>0</v>
      </c>
      <c r="N14" s="471">
        <v>0</v>
      </c>
      <c r="O14" s="472"/>
      <c r="P14" s="471">
        <v>0.5</v>
      </c>
      <c r="Q14" s="473">
        <v>0.5</v>
      </c>
      <c r="R14" s="126"/>
      <c r="S14" s="242"/>
      <c r="T14" s="495"/>
      <c r="U14" s="496"/>
      <c r="V14" s="496"/>
      <c r="W14" s="497"/>
      <c r="X14" s="126"/>
      <c r="Y14" s="511">
        <v>1</v>
      </c>
      <c r="Z14" s="512">
        <v>0</v>
      </c>
      <c r="AA14" s="161"/>
      <c r="AB14" s="524"/>
      <c r="AC14" s="525"/>
      <c r="AD14" s="126"/>
      <c r="AE14" s="242"/>
      <c r="AF14" s="471">
        <v>0</v>
      </c>
      <c r="AG14" s="471">
        <v>0</v>
      </c>
      <c r="AH14" s="472"/>
      <c r="AI14" s="473">
        <v>1</v>
      </c>
      <c r="AJ14" s="126"/>
      <c r="AK14" s="511">
        <v>0</v>
      </c>
      <c r="AL14" s="547">
        <v>0</v>
      </c>
      <c r="AM14" s="547">
        <v>0</v>
      </c>
      <c r="AN14" s="547">
        <v>0.5</v>
      </c>
      <c r="AO14" s="512">
        <v>0.5</v>
      </c>
      <c r="AP14" s="126"/>
      <c r="AQ14" s="526"/>
      <c r="AR14" s="527"/>
      <c r="AS14" s="126"/>
      <c r="AT14" s="244"/>
      <c r="AU14" s="186"/>
      <c r="AV14" s="186"/>
      <c r="AW14" s="186"/>
      <c r="AX14" s="245"/>
      <c r="AY14" s="37"/>
      <c r="AZ14" s="98"/>
      <c r="BA14" s="125">
        <f>COUNTIF('PC2'!N:N,'Apportionment Bases'!A14)</f>
        <v>45</v>
      </c>
      <c r="BB14" s="125">
        <f>COUNTIF('PC5'!N:N,'Apportionment Bases'!A14)</f>
        <v>0</v>
      </c>
      <c r="BC14" s="125">
        <f>COUNTIF('PC8'!N:N,'Apportionment Bases'!A14)</f>
        <v>14</v>
      </c>
      <c r="BD14" s="125">
        <f>COUNTIF('PC15'!N:N,'Apportionment Bases'!A14)</f>
        <v>41</v>
      </c>
      <c r="BE14" s="125">
        <f>COUNTIF('PC21'!N:N,'Apportionment Bases'!A14)</f>
        <v>0</v>
      </c>
      <c r="BF14" s="248">
        <f>COUNTIF('PC24'!N:N,'Apportionment Bases'!A14)</f>
        <v>0</v>
      </c>
      <c r="BG14" s="389">
        <f t="shared" si="2"/>
        <v>100</v>
      </c>
      <c r="BH14" s="111"/>
    </row>
    <row r="15" spans="1:60" x14ac:dyDescent="0.25">
      <c r="A15" s="208" t="s">
        <v>4</v>
      </c>
      <c r="B15" s="264">
        <f>SUMIF('PC2'!N:N,'Apportionment Bases'!A15,'PC2'!L:L)</f>
        <v>1265000</v>
      </c>
      <c r="C15" s="156">
        <f>SUMIF('PC5'!N:N,'Apportionment Bases'!A15,'PC5'!L:L)</f>
        <v>0</v>
      </c>
      <c r="D15" s="156">
        <f>SUMIF('PC8'!N:N,'Apportionment Bases'!A15,'PC8'!L:L)</f>
        <v>0</v>
      </c>
      <c r="E15" s="156">
        <f>SUMIF('PC12'!N:N,'Apportionment Bases'!$A$6:$A$33,'PC12'!L:L)</f>
        <v>0</v>
      </c>
      <c r="F15" s="156">
        <f>SUMIF('PC15'!N:N,'Apportionment Bases'!A15,'PC15'!L:L)</f>
        <v>0</v>
      </c>
      <c r="G15" s="156">
        <f>SUMIF('PC17'!N:N,'Apportionment Bases'!A15,'PC17'!L:L)</f>
        <v>1142000</v>
      </c>
      <c r="H15" s="156">
        <f>SUMIF('PC21'!N:N,'Apportionment Bases'!A15,'PC21'!L:L)</f>
        <v>0</v>
      </c>
      <c r="I15" s="156">
        <f>SUMIF('PC24'!N:N,'Apportionment Bases'!A15,'PC24'!L:L)</f>
        <v>0</v>
      </c>
      <c r="J15" s="387">
        <f t="shared" si="1"/>
        <v>2407000</v>
      </c>
      <c r="K15" s="388">
        <f>J15/$J$35</f>
        <v>0.13379747586920554</v>
      </c>
      <c r="L15" s="98"/>
      <c r="M15" s="470">
        <v>1</v>
      </c>
      <c r="N15" s="471">
        <v>0</v>
      </c>
      <c r="O15" s="472"/>
      <c r="P15" s="471">
        <v>0</v>
      </c>
      <c r="Q15" s="473">
        <v>0</v>
      </c>
      <c r="R15" s="126"/>
      <c r="S15" s="242"/>
      <c r="T15" s="495"/>
      <c r="U15" s="496"/>
      <c r="V15" s="496"/>
      <c r="W15" s="497"/>
      <c r="X15" s="126"/>
      <c r="Y15" s="511">
        <v>1</v>
      </c>
      <c r="Z15" s="512">
        <v>0</v>
      </c>
      <c r="AA15" s="161"/>
      <c r="AB15" s="526"/>
      <c r="AC15" s="527"/>
      <c r="AD15" s="126"/>
      <c r="AE15" s="242"/>
      <c r="AF15" s="472"/>
      <c r="AG15" s="472"/>
      <c r="AH15" s="472"/>
      <c r="AI15" s="475"/>
      <c r="AJ15" s="126"/>
      <c r="AK15" s="511">
        <v>1</v>
      </c>
      <c r="AL15" s="547">
        <v>0</v>
      </c>
      <c r="AM15" s="547">
        <v>0</v>
      </c>
      <c r="AN15" s="547">
        <v>0</v>
      </c>
      <c r="AO15" s="512">
        <v>0</v>
      </c>
      <c r="AP15" s="126"/>
      <c r="AQ15" s="526"/>
      <c r="AR15" s="527"/>
      <c r="AS15" s="126"/>
      <c r="AT15" s="244"/>
      <c r="AU15" s="186"/>
      <c r="AV15" s="186"/>
      <c r="AW15" s="186"/>
      <c r="AX15" s="245"/>
      <c r="AY15" s="37"/>
      <c r="AZ15" s="98"/>
      <c r="BA15" s="125">
        <f>COUNTIF('PC2'!N:N,'Apportionment Bases'!A15)</f>
        <v>7</v>
      </c>
      <c r="BB15" s="125">
        <f>COUNTIF('PC5'!N:N,'Apportionment Bases'!A15)</f>
        <v>0</v>
      </c>
      <c r="BC15" s="125">
        <f>COUNTIF('PC8'!N:N,'Apportionment Bases'!A15)</f>
        <v>0</v>
      </c>
      <c r="BD15" s="125">
        <f>COUNTIF('PC15'!N:N,'Apportionment Bases'!A15)</f>
        <v>0</v>
      </c>
      <c r="BE15" s="125">
        <f>COUNTIF('PC21'!N:N,'Apportionment Bases'!A15)</f>
        <v>0</v>
      </c>
      <c r="BF15" s="248">
        <f>COUNTIF('PC24'!N:N,'Apportionment Bases'!A15)</f>
        <v>0</v>
      </c>
      <c r="BG15" s="389">
        <f t="shared" si="2"/>
        <v>7</v>
      </c>
      <c r="BH15" s="111"/>
    </row>
    <row r="16" spans="1:60" x14ac:dyDescent="0.25">
      <c r="A16" s="208" t="s">
        <v>3</v>
      </c>
      <c r="B16" s="264">
        <f>SUMIF('PC2'!N:N,'Apportionment Bases'!A16,'PC2'!L:L)</f>
        <v>280000</v>
      </c>
      <c r="C16" s="156">
        <f>SUMIF('PC5'!N:N,'Apportionment Bases'!A16,'PC5'!L:L)</f>
        <v>0</v>
      </c>
      <c r="D16" s="156">
        <f>SUMIF('PC8'!N:N,'Apportionment Bases'!A16,'PC8'!L:L)</f>
        <v>0</v>
      </c>
      <c r="E16" s="156">
        <f>SUMIF('PC12'!N:N,'Apportionment Bases'!$A$6:$A$33,'PC12'!L:L)</f>
        <v>0</v>
      </c>
      <c r="F16" s="156">
        <f>SUMIF('PC15'!N:N,'Apportionment Bases'!A16,'PC15'!L:L)</f>
        <v>327000</v>
      </c>
      <c r="G16" s="156">
        <f>SUMIF('PC17'!N:N,'Apportionment Bases'!A16,'PC17'!L:L)</f>
        <v>307000</v>
      </c>
      <c r="H16" s="156">
        <f>SUMIF('PC21'!N:N,'Apportionment Bases'!A16,'PC21'!L:L)</f>
        <v>0</v>
      </c>
      <c r="I16" s="156">
        <f>SUMIF('PC24'!N:N,'Apportionment Bases'!A16,'PC24'!L:L)</f>
        <v>0</v>
      </c>
      <c r="J16" s="387">
        <f t="shared" si="1"/>
        <v>914000</v>
      </c>
      <c r="K16" s="388">
        <f>J16/$J$35</f>
        <v>5.0806353529062681E-2</v>
      </c>
      <c r="L16" s="98"/>
      <c r="M16" s="470">
        <v>0</v>
      </c>
      <c r="N16" s="471">
        <v>1</v>
      </c>
      <c r="O16" s="472"/>
      <c r="P16" s="471">
        <v>0</v>
      </c>
      <c r="Q16" s="473">
        <v>0</v>
      </c>
      <c r="R16" s="126"/>
      <c r="S16" s="242"/>
      <c r="T16" s="495"/>
      <c r="U16" s="496"/>
      <c r="V16" s="496"/>
      <c r="W16" s="497"/>
      <c r="X16" s="126"/>
      <c r="Y16" s="511">
        <v>1</v>
      </c>
      <c r="Z16" s="512">
        <v>0</v>
      </c>
      <c r="AA16" s="161"/>
      <c r="AB16" s="526"/>
      <c r="AC16" s="527"/>
      <c r="AD16" s="126"/>
      <c r="AE16" s="242"/>
      <c r="AF16" s="471">
        <v>1</v>
      </c>
      <c r="AG16" s="471">
        <v>0</v>
      </c>
      <c r="AH16" s="472"/>
      <c r="AI16" s="473">
        <v>0</v>
      </c>
      <c r="AJ16" s="126"/>
      <c r="AK16" s="511">
        <v>0</v>
      </c>
      <c r="AL16" s="547">
        <v>1</v>
      </c>
      <c r="AM16" s="547">
        <v>0</v>
      </c>
      <c r="AN16" s="547">
        <v>0</v>
      </c>
      <c r="AO16" s="512">
        <v>0</v>
      </c>
      <c r="AP16" s="126"/>
      <c r="AQ16" s="555"/>
      <c r="AR16" s="556"/>
      <c r="AS16" s="126"/>
      <c r="AT16" s="244"/>
      <c r="AU16" s="186"/>
      <c r="AV16" s="186"/>
      <c r="AW16" s="186"/>
      <c r="AX16" s="245"/>
      <c r="AY16" s="37"/>
      <c r="AZ16" s="98"/>
      <c r="BA16" s="125">
        <f>COUNTIF('PC2'!N:N,'Apportionment Bases'!A16)</f>
        <v>2</v>
      </c>
      <c r="BB16" s="125">
        <f>COUNTIF('PC5'!N:N,'Apportionment Bases'!A16)</f>
        <v>0</v>
      </c>
      <c r="BC16" s="125">
        <f>COUNTIF('PC8'!N:N,'Apportionment Bases'!A16)</f>
        <v>0</v>
      </c>
      <c r="BD16" s="125">
        <f>COUNTIF('PC15'!N:N,'Apportionment Bases'!A16)</f>
        <v>5</v>
      </c>
      <c r="BE16" s="125">
        <f>COUNTIF('PC21'!N:N,'Apportionment Bases'!A16)</f>
        <v>0</v>
      </c>
      <c r="BF16" s="248">
        <f>COUNTIF('PC24'!N:N,'Apportionment Bases'!A16)</f>
        <v>0</v>
      </c>
      <c r="BG16" s="389">
        <f t="shared" si="2"/>
        <v>7</v>
      </c>
      <c r="BH16" s="111"/>
    </row>
    <row r="17" spans="1:60" x14ac:dyDescent="0.25">
      <c r="A17" s="208" t="s">
        <v>32</v>
      </c>
      <c r="B17" s="264">
        <f>SUMIF('PC2'!N:N,'Apportionment Bases'!A17,'PC2'!L:L)</f>
        <v>0</v>
      </c>
      <c r="C17" s="156">
        <f>SUMIF('PC5'!N:N,'Apportionment Bases'!A17,'PC5'!L:L)</f>
        <v>0</v>
      </c>
      <c r="D17" s="156">
        <f>SUMIF('PC8'!N:N,'Apportionment Bases'!A17,'PC8'!L:L)</f>
        <v>0</v>
      </c>
      <c r="E17" s="156">
        <f>SUMIF('PC12'!N:N,'Apportionment Bases'!$A$6:$A$33,'PC12'!L:L)</f>
        <v>0</v>
      </c>
      <c r="F17" s="156">
        <f>SUMIF('PC15'!N:N,'Apportionment Bases'!A17,'PC15'!L:L)</f>
        <v>35000</v>
      </c>
      <c r="G17" s="156">
        <f>SUMIF('PC17'!N:N,'Apportionment Bases'!A17,'PC17'!L:L)</f>
        <v>58996</v>
      </c>
      <c r="H17" s="156">
        <f>SUMIF('PC21'!N:N,'Apportionment Bases'!A17,'PC21'!L:L)</f>
        <v>0</v>
      </c>
      <c r="I17" s="156">
        <f>SUMIF('PC24'!N:N,'Apportionment Bases'!A17,'PC24'!L:L)</f>
        <v>0</v>
      </c>
      <c r="J17" s="387">
        <f t="shared" si="1"/>
        <v>93996</v>
      </c>
      <c r="K17" s="388">
        <f>J17/$J$35</f>
        <v>5.2249387377656187E-3</v>
      </c>
      <c r="L17" s="98"/>
      <c r="M17" s="474"/>
      <c r="N17" s="472"/>
      <c r="O17" s="472"/>
      <c r="P17" s="472"/>
      <c r="Q17" s="475"/>
      <c r="R17" s="126"/>
      <c r="S17" s="242"/>
      <c r="T17" s="495"/>
      <c r="U17" s="496"/>
      <c r="V17" s="496"/>
      <c r="W17" s="497"/>
      <c r="X17" s="126"/>
      <c r="Y17" s="511">
        <v>1</v>
      </c>
      <c r="Z17" s="512">
        <v>0</v>
      </c>
      <c r="AA17" s="161"/>
      <c r="AB17" s="524"/>
      <c r="AC17" s="525"/>
      <c r="AD17" s="126"/>
      <c r="AE17" s="242"/>
      <c r="AF17" s="471">
        <v>0</v>
      </c>
      <c r="AG17" s="471">
        <v>1</v>
      </c>
      <c r="AH17" s="472"/>
      <c r="AI17" s="473">
        <v>0</v>
      </c>
      <c r="AJ17" s="126"/>
      <c r="AK17" s="511">
        <v>0</v>
      </c>
      <c r="AL17" s="547">
        <v>0</v>
      </c>
      <c r="AM17" s="547">
        <v>1</v>
      </c>
      <c r="AN17" s="547">
        <v>0</v>
      </c>
      <c r="AO17" s="512">
        <v>0</v>
      </c>
      <c r="AP17" s="126"/>
      <c r="AQ17" s="526"/>
      <c r="AR17" s="527"/>
      <c r="AS17" s="126"/>
      <c r="AT17" s="244"/>
      <c r="AU17" s="186"/>
      <c r="AV17" s="186"/>
      <c r="AW17" s="186"/>
      <c r="AX17" s="245"/>
      <c r="AY17" s="37"/>
      <c r="AZ17" s="98"/>
      <c r="BA17" s="125">
        <f>COUNTIF('PC2'!N:N,'Apportionment Bases'!A17)</f>
        <v>0</v>
      </c>
      <c r="BB17" s="125">
        <f>COUNTIF('PC5'!N:N,'Apportionment Bases'!A17)</f>
        <v>0</v>
      </c>
      <c r="BC17" s="125">
        <f>COUNTIF('PC8'!N:N,'Apportionment Bases'!A17)</f>
        <v>0</v>
      </c>
      <c r="BD17" s="125">
        <f>COUNTIF('PC15'!N:N,'Apportionment Bases'!A17)</f>
        <v>1</v>
      </c>
      <c r="BE17" s="125">
        <f>COUNTIF('PC21'!N:N,'Apportionment Bases'!A17)</f>
        <v>0</v>
      </c>
      <c r="BF17" s="248">
        <f>COUNTIF('PC24'!N:N,'Apportionment Bases'!A17)</f>
        <v>0</v>
      </c>
      <c r="BG17" s="389">
        <f t="shared" si="2"/>
        <v>1</v>
      </c>
      <c r="BH17" s="111"/>
    </row>
    <row r="18" spans="1:60" s="43" customFormat="1" ht="4.5" customHeight="1" x14ac:dyDescent="0.25">
      <c r="A18" s="355"/>
      <c r="B18" s="356"/>
      <c r="C18" s="352"/>
      <c r="D18" s="352"/>
      <c r="E18" s="352"/>
      <c r="F18" s="352"/>
      <c r="G18" s="352"/>
      <c r="H18" s="352"/>
      <c r="I18" s="352"/>
      <c r="J18" s="384"/>
      <c r="K18" s="385"/>
      <c r="L18" s="98"/>
      <c r="M18" s="476"/>
      <c r="N18" s="468"/>
      <c r="O18" s="468"/>
      <c r="P18" s="468"/>
      <c r="Q18" s="477"/>
      <c r="R18" s="126"/>
      <c r="S18" s="360"/>
      <c r="T18" s="498"/>
      <c r="U18" s="493"/>
      <c r="V18" s="493"/>
      <c r="W18" s="499"/>
      <c r="X18" s="126"/>
      <c r="Y18" s="510"/>
      <c r="Z18" s="494"/>
      <c r="AA18" s="161"/>
      <c r="AB18" s="522"/>
      <c r="AC18" s="523"/>
      <c r="AD18" s="126"/>
      <c r="AE18" s="360"/>
      <c r="AF18" s="467"/>
      <c r="AG18" s="467"/>
      <c r="AH18" s="468"/>
      <c r="AI18" s="469"/>
      <c r="AJ18" s="126"/>
      <c r="AK18" s="510"/>
      <c r="AL18" s="492"/>
      <c r="AM18" s="492"/>
      <c r="AN18" s="492"/>
      <c r="AO18" s="494"/>
      <c r="AP18" s="126"/>
      <c r="AQ18" s="553"/>
      <c r="AR18" s="554"/>
      <c r="AS18" s="126"/>
      <c r="AT18" s="357"/>
      <c r="AU18" s="358"/>
      <c r="AV18" s="358"/>
      <c r="AW18" s="358"/>
      <c r="AX18" s="359"/>
      <c r="AY18" s="37"/>
      <c r="AZ18" s="98"/>
      <c r="BA18" s="353"/>
      <c r="BB18" s="353"/>
      <c r="BC18" s="353"/>
      <c r="BD18" s="353"/>
      <c r="BE18" s="353"/>
      <c r="BF18" s="354"/>
      <c r="BG18" s="386"/>
      <c r="BH18" s="363"/>
    </row>
    <row r="19" spans="1:60" x14ac:dyDescent="0.25">
      <c r="A19" s="210" t="s">
        <v>541</v>
      </c>
      <c r="B19" s="364">
        <f>SUMIF('PC2'!N:N,'Apportionment Bases'!A19,'PC2'!L:L)</f>
        <v>0</v>
      </c>
      <c r="C19" s="365">
        <f>SUMIF('PC5'!N:N,'Apportionment Bases'!A19,'PC5'!L:L)</f>
        <v>330864</v>
      </c>
      <c r="D19" s="365">
        <f>SUMIF('PC8'!N:N,'Apportionment Bases'!A19,'PC8'!L:L)</f>
        <v>0</v>
      </c>
      <c r="E19" s="365">
        <f>SUMIF('PC12'!N:N,'Apportionment Bases'!$A$6:$A$33,'PC12'!L:L)</f>
        <v>0</v>
      </c>
      <c r="F19" s="365">
        <f>SUMIF('PC15'!N:N,'Apportionment Bases'!A19,'PC15'!L:L)</f>
        <v>0</v>
      </c>
      <c r="G19" s="365">
        <f>SUMIF('PC17'!N:N,'Apportionment Bases'!A19,'PC17'!L:L)</f>
        <v>0</v>
      </c>
      <c r="H19" s="365">
        <f>SUMIF('PC21'!N:N,'Apportionment Bases'!A19,'PC21'!L:L)</f>
        <v>0</v>
      </c>
      <c r="I19" s="365">
        <f>SUMIF('PC24'!N:N,'Apportionment Bases'!A19,'PC24'!L:L)</f>
        <v>342226</v>
      </c>
      <c r="J19" s="390">
        <f>SUM(B19:I19)</f>
        <v>673090</v>
      </c>
      <c r="K19" s="391">
        <f>J19/$J$35</f>
        <v>3.7414932709930855E-2</v>
      </c>
      <c r="L19" s="98"/>
      <c r="M19" s="478"/>
      <c r="N19" s="479"/>
      <c r="O19" s="479"/>
      <c r="P19" s="479"/>
      <c r="Q19" s="480"/>
      <c r="R19" s="126"/>
      <c r="S19" s="369"/>
      <c r="T19" s="500">
        <v>0</v>
      </c>
      <c r="U19" s="501"/>
      <c r="V19" s="501"/>
      <c r="W19" s="500">
        <v>1</v>
      </c>
      <c r="X19" s="126"/>
      <c r="Y19" s="513"/>
      <c r="Z19" s="514"/>
      <c r="AA19" s="162"/>
      <c r="AB19" s="528"/>
      <c r="AC19" s="529"/>
      <c r="AD19" s="126"/>
      <c r="AE19" s="369"/>
      <c r="AF19" s="479"/>
      <c r="AG19" s="479"/>
      <c r="AH19" s="479"/>
      <c r="AI19" s="480"/>
      <c r="AJ19" s="126"/>
      <c r="AK19" s="513"/>
      <c r="AL19" s="548"/>
      <c r="AM19" s="548"/>
      <c r="AN19" s="548"/>
      <c r="AO19" s="514"/>
      <c r="AP19" s="126"/>
      <c r="AQ19" s="557"/>
      <c r="AR19" s="503"/>
      <c r="AS19" s="126"/>
      <c r="AT19" s="366"/>
      <c r="AU19" s="370">
        <v>0</v>
      </c>
      <c r="AV19" s="367"/>
      <c r="AW19" s="367"/>
      <c r="AX19" s="371">
        <v>1</v>
      </c>
      <c r="AY19" s="37"/>
      <c r="AZ19" s="98"/>
      <c r="BA19" s="372">
        <f>COUNTIF('PC2'!N:N,'Apportionment Bases'!A19)</f>
        <v>0</v>
      </c>
      <c r="BB19" s="372">
        <f>COUNTIF('PC5'!N:N,'Apportionment Bases'!A19)</f>
        <v>40</v>
      </c>
      <c r="BC19" s="372">
        <f>COUNTIF('PC8'!N:N,'Apportionment Bases'!A19)</f>
        <v>0</v>
      </c>
      <c r="BD19" s="372">
        <f>COUNTIF('PC15'!N:N,'Apportionment Bases'!A19)</f>
        <v>0</v>
      </c>
      <c r="BE19" s="372">
        <f>COUNTIF('PC21'!N:N,'Apportionment Bases'!A19)</f>
        <v>0</v>
      </c>
      <c r="BF19" s="373">
        <f>COUNTIF('PC24'!N:N,'Apportionment Bases'!A19)</f>
        <v>33</v>
      </c>
      <c r="BG19" s="392">
        <f>SUM(BA19:BF19)</f>
        <v>73</v>
      </c>
      <c r="BH19" s="111"/>
    </row>
    <row r="20" spans="1:60" x14ac:dyDescent="0.25">
      <c r="A20" s="210" t="s">
        <v>542</v>
      </c>
      <c r="B20" s="364">
        <f>SUMIF('PC2'!N:N,'Apportionment Bases'!A20,'PC2'!L:L)</f>
        <v>0</v>
      </c>
      <c r="C20" s="365">
        <f>SUMIF('PC5'!N:N,'Apportionment Bases'!A20,'PC5'!L:L)</f>
        <v>145000</v>
      </c>
      <c r="D20" s="365">
        <f>SUMIF('PC8'!N:N,'Apportionment Bases'!A20,'PC8'!L:L)</f>
        <v>0</v>
      </c>
      <c r="E20" s="365">
        <f>SUMIF('PC12'!N:N,'Apportionment Bases'!$A$6:$A$33,'PC12'!L:L)</f>
        <v>0</v>
      </c>
      <c r="F20" s="365">
        <f>SUMIF('PC15'!N:N,'Apportionment Bases'!A20,'PC15'!L:L)</f>
        <v>0</v>
      </c>
      <c r="G20" s="365">
        <f>SUMIF('PC17'!N:N,'Apportionment Bases'!A20,'PC17'!L:L)</f>
        <v>0</v>
      </c>
      <c r="H20" s="365">
        <f>SUMIF('PC21'!N:N,'Apportionment Bases'!A20,'PC21'!L:L)</f>
        <v>0</v>
      </c>
      <c r="I20" s="365">
        <f>SUMIF('PC24'!N:N,'Apportionment Bases'!A20,'PC24'!L:L)</f>
        <v>131992</v>
      </c>
      <c r="J20" s="390">
        <f>SUM(B20:I20)</f>
        <v>276992</v>
      </c>
      <c r="K20" s="391">
        <f>J20/$J$35</f>
        <v>1.5397104460308677E-2</v>
      </c>
      <c r="L20" s="98"/>
      <c r="M20" s="478"/>
      <c r="N20" s="479"/>
      <c r="O20" s="479"/>
      <c r="P20" s="479"/>
      <c r="Q20" s="480"/>
      <c r="R20" s="126"/>
      <c r="S20" s="369"/>
      <c r="T20" s="500">
        <v>1</v>
      </c>
      <c r="U20" s="501"/>
      <c r="V20" s="501"/>
      <c r="W20" s="500">
        <v>0</v>
      </c>
      <c r="X20" s="126"/>
      <c r="Y20" s="513"/>
      <c r="Z20" s="514"/>
      <c r="AA20" s="162"/>
      <c r="AB20" s="528"/>
      <c r="AC20" s="529"/>
      <c r="AD20" s="126"/>
      <c r="AE20" s="369"/>
      <c r="AF20" s="479"/>
      <c r="AG20" s="479"/>
      <c r="AH20" s="479"/>
      <c r="AI20" s="480"/>
      <c r="AJ20" s="126"/>
      <c r="AK20" s="513"/>
      <c r="AL20" s="548"/>
      <c r="AM20" s="548"/>
      <c r="AN20" s="548"/>
      <c r="AO20" s="514"/>
      <c r="AP20" s="126"/>
      <c r="AQ20" s="557"/>
      <c r="AR20" s="503"/>
      <c r="AS20" s="126"/>
      <c r="AT20" s="366"/>
      <c r="AU20" s="370">
        <v>1</v>
      </c>
      <c r="AV20" s="367"/>
      <c r="AW20" s="367"/>
      <c r="AX20" s="371">
        <v>0</v>
      </c>
      <c r="AY20" s="37"/>
      <c r="AZ20" s="98"/>
      <c r="BA20" s="372">
        <f>COUNTIF('PC2'!N:N,'Apportionment Bases'!A20)</f>
        <v>0</v>
      </c>
      <c r="BB20" s="372">
        <f>COUNTIF('PC5'!N:N,'Apportionment Bases'!A20)</f>
        <v>1</v>
      </c>
      <c r="BC20" s="372">
        <f>COUNTIF('PC8'!N:N,'Apportionment Bases'!A20)</f>
        <v>0</v>
      </c>
      <c r="BD20" s="372">
        <f>COUNTIF('PC15'!N:N,'Apportionment Bases'!A20)</f>
        <v>0</v>
      </c>
      <c r="BE20" s="372">
        <f>COUNTIF('PC21'!N:N,'Apportionment Bases'!A20)</f>
        <v>0</v>
      </c>
      <c r="BF20" s="373">
        <f>COUNTIF('PC24'!N:N,'Apportionment Bases'!A20)</f>
        <v>1</v>
      </c>
      <c r="BG20" s="392">
        <f>SUM(BA20:BF20)</f>
        <v>2</v>
      </c>
      <c r="BH20" s="111"/>
    </row>
    <row r="21" spans="1:60" x14ac:dyDescent="0.25">
      <c r="A21" s="210" t="s">
        <v>537</v>
      </c>
      <c r="B21" s="364">
        <f>SUMIF('PC2'!N:N,'Apportionment Bases'!A21,'PC2'!L:L)</f>
        <v>0</v>
      </c>
      <c r="C21" s="365">
        <f>SUMIF('PC5'!N:N,'Apportionment Bases'!A21,'PC5'!L:L)</f>
        <v>0</v>
      </c>
      <c r="D21" s="365">
        <f>SUMIF('PC8'!N:N,'Apportionment Bases'!A21,'PC8'!L:L)</f>
        <v>0</v>
      </c>
      <c r="E21" s="365">
        <f>SUMIF('PC12'!N:N,'Apportionment Bases'!$A$6:$A$33,'PC12'!L:L)</f>
        <v>0</v>
      </c>
      <c r="F21" s="365">
        <f>SUMIF('PC15'!N:N,'Apportionment Bases'!A21,'PC15'!L:L)</f>
        <v>0</v>
      </c>
      <c r="G21" s="365">
        <f>SUMIF('PC17'!N:N,'Apportionment Bases'!A21,'PC17'!L:L)</f>
        <v>0</v>
      </c>
      <c r="H21" s="365">
        <f>SUMIF('PC21'!N:N,'Apportionment Bases'!A21,'PC21'!L:L)</f>
        <v>63231</v>
      </c>
      <c r="I21" s="365">
        <f>SUMIF('PC24'!N:N,'Apportionment Bases'!A21,'PC24'!L:L)</f>
        <v>0</v>
      </c>
      <c r="J21" s="390">
        <f>SUM(B21:I21)</f>
        <v>63231</v>
      </c>
      <c r="K21" s="391">
        <f>J21/$J$35</f>
        <v>3.5148102188141818E-3</v>
      </c>
      <c r="L21" s="98"/>
      <c r="M21" s="478"/>
      <c r="N21" s="479"/>
      <c r="O21" s="479"/>
      <c r="P21" s="479"/>
      <c r="Q21" s="480"/>
      <c r="R21" s="126"/>
      <c r="S21" s="369"/>
      <c r="T21" s="502"/>
      <c r="U21" s="502"/>
      <c r="V21" s="502"/>
      <c r="W21" s="503"/>
      <c r="X21" s="126"/>
      <c r="Y21" s="513"/>
      <c r="Z21" s="514"/>
      <c r="AA21" s="162"/>
      <c r="AB21" s="530"/>
      <c r="AC21" s="531"/>
      <c r="AD21" s="126"/>
      <c r="AE21" s="369"/>
      <c r="AF21" s="479"/>
      <c r="AG21" s="479"/>
      <c r="AH21" s="479"/>
      <c r="AI21" s="480"/>
      <c r="AJ21" s="126"/>
      <c r="AK21" s="513"/>
      <c r="AL21" s="548"/>
      <c r="AM21" s="548"/>
      <c r="AN21" s="548"/>
      <c r="AO21" s="514"/>
      <c r="AP21" s="126"/>
      <c r="AQ21" s="558">
        <v>0.67</v>
      </c>
      <c r="AR21" s="559">
        <v>0.33</v>
      </c>
      <c r="AS21" s="126"/>
      <c r="AT21" s="366"/>
      <c r="AU21" s="367"/>
      <c r="AV21" s="367"/>
      <c r="AW21" s="367"/>
      <c r="AX21" s="368"/>
      <c r="AY21" s="102"/>
      <c r="AZ21" s="98"/>
      <c r="BA21" s="372">
        <f>COUNTIF('PC2'!N:N,'Apportionment Bases'!A21)</f>
        <v>0</v>
      </c>
      <c r="BB21" s="372">
        <f>COUNTIF('PC5'!N:N,'Apportionment Bases'!A21)</f>
        <v>0</v>
      </c>
      <c r="BC21" s="372">
        <f>COUNTIF('PC8'!N:N,'Apportionment Bases'!A21)</f>
        <v>0</v>
      </c>
      <c r="BD21" s="372">
        <f>COUNTIF('PC15'!N:N,'Apportionment Bases'!A21)</f>
        <v>0</v>
      </c>
      <c r="BE21" s="372">
        <f>COUNTIF('PC21'!N:N,'Apportionment Bases'!A21)</f>
        <v>11</v>
      </c>
      <c r="BF21" s="373">
        <f>COUNTIF('PC24'!N:N,'Apportionment Bases'!A21)</f>
        <v>0</v>
      </c>
      <c r="BG21" s="392">
        <f>SUM(BA21:BF21)</f>
        <v>11</v>
      </c>
      <c r="BH21" s="111"/>
    </row>
    <row r="22" spans="1:60" s="43" customFormat="1" ht="4.5" customHeight="1" x14ac:dyDescent="0.25">
      <c r="A22" s="355"/>
      <c r="B22" s="356"/>
      <c r="C22" s="352"/>
      <c r="D22" s="352"/>
      <c r="E22" s="352"/>
      <c r="F22" s="352"/>
      <c r="G22" s="352"/>
      <c r="H22" s="352"/>
      <c r="I22" s="352"/>
      <c r="J22" s="384"/>
      <c r="K22" s="385"/>
      <c r="L22" s="98"/>
      <c r="M22" s="476"/>
      <c r="N22" s="468"/>
      <c r="O22" s="468"/>
      <c r="P22" s="468"/>
      <c r="Q22" s="477"/>
      <c r="R22" s="126"/>
      <c r="S22" s="360"/>
      <c r="T22" s="498"/>
      <c r="U22" s="493"/>
      <c r="V22" s="493"/>
      <c r="W22" s="499"/>
      <c r="X22" s="126"/>
      <c r="Y22" s="510"/>
      <c r="Z22" s="494"/>
      <c r="AA22" s="161"/>
      <c r="AB22" s="522"/>
      <c r="AC22" s="523"/>
      <c r="AD22" s="126"/>
      <c r="AE22" s="360"/>
      <c r="AF22" s="467"/>
      <c r="AG22" s="467"/>
      <c r="AH22" s="468"/>
      <c r="AI22" s="469"/>
      <c r="AJ22" s="126"/>
      <c r="AK22" s="510"/>
      <c r="AL22" s="492"/>
      <c r="AM22" s="492"/>
      <c r="AN22" s="492"/>
      <c r="AO22" s="494"/>
      <c r="AP22" s="126"/>
      <c r="AQ22" s="553"/>
      <c r="AR22" s="554"/>
      <c r="AS22" s="126"/>
      <c r="AT22" s="357"/>
      <c r="AU22" s="358"/>
      <c r="AV22" s="358"/>
      <c r="AW22" s="358"/>
      <c r="AX22" s="359"/>
      <c r="AY22" s="37"/>
      <c r="AZ22" s="98"/>
      <c r="BA22" s="353"/>
      <c r="BB22" s="353"/>
      <c r="BC22" s="353"/>
      <c r="BD22" s="353"/>
      <c r="BE22" s="353"/>
      <c r="BF22" s="354"/>
      <c r="BG22" s="386"/>
      <c r="BH22" s="363"/>
    </row>
    <row r="23" spans="1:60" x14ac:dyDescent="0.25">
      <c r="A23" s="209" t="s">
        <v>11</v>
      </c>
      <c r="B23" s="265">
        <f>SUMIF('PC2'!N:N,'Apportionment Bases'!A23,'PC2'!L:L)</f>
        <v>524000</v>
      </c>
      <c r="C23" s="205">
        <f>SUMIF('PC5'!N:N,'Apportionment Bases'!A23,'PC5'!L:L)</f>
        <v>0</v>
      </c>
      <c r="D23" s="205">
        <f>SUMIF('PC8'!N:N,'Apportionment Bases'!A23,'PC8'!L:L)</f>
        <v>0</v>
      </c>
      <c r="E23" s="205">
        <f>SUMIF('PC12'!N:N,'Apportionment Bases'!$A$6:$A$33,'PC12'!L:L)</f>
        <v>0</v>
      </c>
      <c r="F23" s="205">
        <f>SUMIF('PC15'!N:N,'Apportionment Bases'!A23,'PC15'!L:L)</f>
        <v>283000</v>
      </c>
      <c r="G23" s="205">
        <f>SUMIF('PC17'!N:N,'Apportionment Bases'!A23,'PC17'!L:L)</f>
        <v>675000</v>
      </c>
      <c r="H23" s="205">
        <f>SUMIF('PC21'!N:N,'Apportionment Bases'!A23,'PC21'!L:L)</f>
        <v>0</v>
      </c>
      <c r="I23" s="205">
        <f>SUMIF('PC24'!N:N,'Apportionment Bases'!A23,'PC24'!L:L)</f>
        <v>0</v>
      </c>
      <c r="J23" s="393">
        <f t="shared" si="1"/>
        <v>1482000</v>
      </c>
      <c r="K23" s="394">
        <f t="shared" ref="K23:K33" si="8">J23/$J$35</f>
        <v>8.2379667319552402E-2</v>
      </c>
      <c r="L23" s="98"/>
      <c r="M23" s="481">
        <v>0.25</v>
      </c>
      <c r="N23" s="482">
        <v>0.65</v>
      </c>
      <c r="O23" s="483"/>
      <c r="P23" s="482">
        <v>0.05</v>
      </c>
      <c r="Q23" s="484">
        <v>0.05</v>
      </c>
      <c r="R23" s="126"/>
      <c r="S23" s="395"/>
      <c r="T23" s="504"/>
      <c r="U23" s="504"/>
      <c r="V23" s="504"/>
      <c r="W23" s="505"/>
      <c r="X23" s="126"/>
      <c r="Y23" s="515"/>
      <c r="Z23" s="505"/>
      <c r="AA23" s="161"/>
      <c r="AB23" s="515"/>
      <c r="AC23" s="505"/>
      <c r="AD23" s="126"/>
      <c r="AE23" s="250"/>
      <c r="AF23" s="482">
        <v>1</v>
      </c>
      <c r="AG23" s="482">
        <v>0</v>
      </c>
      <c r="AH23" s="483"/>
      <c r="AI23" s="484">
        <v>0</v>
      </c>
      <c r="AJ23" s="126"/>
      <c r="AK23" s="549">
        <v>0.32829999999999998</v>
      </c>
      <c r="AL23" s="550">
        <v>0.51519999999999999</v>
      </c>
      <c r="AM23" s="550">
        <v>4.9500000000000002E-2</v>
      </c>
      <c r="AN23" s="550">
        <v>5.3499999999999999E-2</v>
      </c>
      <c r="AO23" s="551">
        <v>5.3499999999999999E-2</v>
      </c>
      <c r="AP23" s="126"/>
      <c r="AQ23" s="515"/>
      <c r="AR23" s="505"/>
      <c r="AS23" s="126"/>
      <c r="AT23" s="251"/>
      <c r="AU23" s="249"/>
      <c r="AV23" s="249"/>
      <c r="AW23" s="249"/>
      <c r="AX23" s="252"/>
      <c r="AY23" s="37"/>
      <c r="AZ23" s="98"/>
      <c r="BA23" s="253">
        <f>COUNTIF('PC2'!N:N,'Apportionment Bases'!A23)</f>
        <v>1</v>
      </c>
      <c r="BB23" s="253">
        <f>COUNTIF('PC5'!N:N,'Apportionment Bases'!A23)</f>
        <v>0</v>
      </c>
      <c r="BC23" s="253">
        <f>COUNTIF('PC8'!N:N,'Apportionment Bases'!A23)</f>
        <v>0</v>
      </c>
      <c r="BD23" s="253">
        <f>COUNTIF('PC15'!N:N,'Apportionment Bases'!A23)</f>
        <v>1</v>
      </c>
      <c r="BE23" s="253">
        <f>COUNTIF('PC21'!N:N,'Apportionment Bases'!A23)</f>
        <v>0</v>
      </c>
      <c r="BF23" s="254">
        <f>COUNTIF('PC24'!N:N,'Apportionment Bases'!A23)</f>
        <v>0</v>
      </c>
      <c r="BG23" s="397">
        <f t="shared" si="2"/>
        <v>2</v>
      </c>
      <c r="BH23" s="111"/>
    </row>
    <row r="24" spans="1:60" x14ac:dyDescent="0.25">
      <c r="A24" s="209" t="s">
        <v>12</v>
      </c>
      <c r="B24" s="265">
        <f>SUMIF('PC2'!N:N,'Apportionment Bases'!A24,'PC2'!L:L)</f>
        <v>65000</v>
      </c>
      <c r="C24" s="205">
        <f>SUMIF('PC5'!N:N,'Apportionment Bases'!A24,'PC5'!L:L)</f>
        <v>0</v>
      </c>
      <c r="D24" s="205">
        <f>SUMIF('PC8'!N:N,'Apportionment Bases'!A24,'PC8'!L:L)</f>
        <v>0</v>
      </c>
      <c r="E24" s="205">
        <f>SUMIF('PC12'!N:N,'Apportionment Bases'!$A$6:$A$33,'PC12'!L:L)</f>
        <v>0</v>
      </c>
      <c r="F24" s="205">
        <f>SUMIF('PC15'!N:N,'Apportionment Bases'!A24,'PC15'!L:L)</f>
        <v>3000</v>
      </c>
      <c r="G24" s="205">
        <f>SUMIF('PC17'!N:N,'Apportionment Bases'!A24,'PC17'!L:L)</f>
        <v>141000</v>
      </c>
      <c r="H24" s="205">
        <f>SUMIF('PC21'!N:N,'Apportionment Bases'!A24,'PC21'!L:L)</f>
        <v>0</v>
      </c>
      <c r="I24" s="205">
        <f>SUMIF('PC24'!N:N,'Apportionment Bases'!A24,'PC24'!L:L)</f>
        <v>0</v>
      </c>
      <c r="J24" s="393">
        <f t="shared" si="1"/>
        <v>209000</v>
      </c>
      <c r="K24" s="394">
        <f t="shared" si="8"/>
        <v>1.1617645391218928E-2</v>
      </c>
      <c r="L24" s="98"/>
      <c r="M24" s="481">
        <v>0.25</v>
      </c>
      <c r="N24" s="482">
        <v>0.65</v>
      </c>
      <c r="O24" s="483"/>
      <c r="P24" s="482">
        <v>0.05</v>
      </c>
      <c r="Q24" s="484">
        <v>0.05</v>
      </c>
      <c r="R24" s="126"/>
      <c r="S24" s="250"/>
      <c r="T24" s="506"/>
      <c r="U24" s="506"/>
      <c r="V24" s="506"/>
      <c r="W24" s="507"/>
      <c r="X24" s="126"/>
      <c r="Y24" s="515"/>
      <c r="Z24" s="505"/>
      <c r="AA24" s="161"/>
      <c r="AB24" s="515"/>
      <c r="AC24" s="505"/>
      <c r="AD24" s="126"/>
      <c r="AE24" s="250"/>
      <c r="AF24" s="482">
        <v>0.5</v>
      </c>
      <c r="AG24" s="482">
        <v>0</v>
      </c>
      <c r="AH24" s="483"/>
      <c r="AI24" s="484">
        <v>0.5</v>
      </c>
      <c r="AJ24" s="126"/>
      <c r="AK24" s="549">
        <v>1</v>
      </c>
      <c r="AL24" s="550">
        <v>0</v>
      </c>
      <c r="AM24" s="550">
        <v>0</v>
      </c>
      <c r="AN24" s="550">
        <v>0</v>
      </c>
      <c r="AO24" s="551">
        <v>0</v>
      </c>
      <c r="AP24" s="126"/>
      <c r="AQ24" s="515"/>
      <c r="AR24" s="505"/>
      <c r="AS24" s="126"/>
      <c r="AT24" s="251"/>
      <c r="AU24" s="249"/>
      <c r="AV24" s="249"/>
      <c r="AW24" s="249"/>
      <c r="AX24" s="252"/>
      <c r="AY24" s="37"/>
      <c r="AZ24" s="98"/>
      <c r="BA24" s="253">
        <f>COUNTIF('PC2'!N:N,'Apportionment Bases'!A24)</f>
        <v>1</v>
      </c>
      <c r="BB24" s="253">
        <f>COUNTIF('PC5'!N:N,'Apportionment Bases'!A24)</f>
        <v>0</v>
      </c>
      <c r="BC24" s="253">
        <f>COUNTIF('PC8'!N:N,'Apportionment Bases'!A24)</f>
        <v>0</v>
      </c>
      <c r="BD24" s="253">
        <f>COUNTIF('PC15'!N:N,'Apportionment Bases'!A24)</f>
        <v>1</v>
      </c>
      <c r="BE24" s="253">
        <f>COUNTIF('PC21'!N:N,'Apportionment Bases'!A24)</f>
        <v>0</v>
      </c>
      <c r="BF24" s="254">
        <f>COUNTIF('PC24'!N:N,'Apportionment Bases'!A24)</f>
        <v>0</v>
      </c>
      <c r="BG24" s="397">
        <f t="shared" si="2"/>
        <v>2</v>
      </c>
      <c r="BH24" s="111"/>
    </row>
    <row r="25" spans="1:60" x14ac:dyDescent="0.25">
      <c r="A25" s="209" t="s">
        <v>13</v>
      </c>
      <c r="B25" s="265">
        <f>SUMIF('PC2'!N:N,'Apportionment Bases'!A25,'PC2'!L:L)</f>
        <v>15000</v>
      </c>
      <c r="C25" s="205">
        <f>SUMIF('PC5'!N:N,'Apportionment Bases'!A25,'PC5'!L:L)</f>
        <v>0</v>
      </c>
      <c r="D25" s="205">
        <f>SUMIF('PC8'!N:N,'Apportionment Bases'!A25,'PC8'!L:L)</f>
        <v>0</v>
      </c>
      <c r="E25" s="205">
        <f>SUMIF('PC12'!N:N,'Apportionment Bases'!$A$6:$A$33,'PC12'!L:L)</f>
        <v>0</v>
      </c>
      <c r="F25" s="205">
        <f>SUMIF('PC15'!N:N,'Apportionment Bases'!A25,'PC15'!L:L)</f>
        <v>13000</v>
      </c>
      <c r="G25" s="205">
        <f>SUMIF('PC17'!N:N,'Apportionment Bases'!A25,'PC17'!L:L)</f>
        <v>34000</v>
      </c>
      <c r="H25" s="205">
        <f>SUMIF('PC21'!N:N,'Apportionment Bases'!A25,'PC21'!L:L)</f>
        <v>0</v>
      </c>
      <c r="I25" s="205">
        <f>SUMIF('PC24'!N:N,'Apportionment Bases'!A25,'PC24'!L:L)</f>
        <v>0</v>
      </c>
      <c r="J25" s="393">
        <f t="shared" si="1"/>
        <v>62000</v>
      </c>
      <c r="K25" s="394">
        <f t="shared" si="8"/>
        <v>3.4463828433281031E-3</v>
      </c>
      <c r="L25" s="98"/>
      <c r="M25" s="481">
        <v>0.5</v>
      </c>
      <c r="N25" s="482">
        <v>0.4</v>
      </c>
      <c r="O25" s="483"/>
      <c r="P25" s="482">
        <v>0.05</v>
      </c>
      <c r="Q25" s="484">
        <v>0.05</v>
      </c>
      <c r="R25" s="126"/>
      <c r="S25" s="250"/>
      <c r="T25" s="506"/>
      <c r="U25" s="506"/>
      <c r="V25" s="506"/>
      <c r="W25" s="507"/>
      <c r="X25" s="126"/>
      <c r="Y25" s="515"/>
      <c r="Z25" s="505"/>
      <c r="AA25" s="161"/>
      <c r="AB25" s="515"/>
      <c r="AC25" s="505"/>
      <c r="AD25" s="126"/>
      <c r="AE25" s="250"/>
      <c r="AF25" s="482">
        <v>0.9</v>
      </c>
      <c r="AG25" s="482">
        <v>0</v>
      </c>
      <c r="AH25" s="483"/>
      <c r="AI25" s="484">
        <v>0.1</v>
      </c>
      <c r="AJ25" s="126"/>
      <c r="AK25" s="549">
        <v>0.56499999999999995</v>
      </c>
      <c r="AL25" s="550">
        <v>0.37</v>
      </c>
      <c r="AM25" s="550">
        <v>0</v>
      </c>
      <c r="AN25" s="550">
        <v>0</v>
      </c>
      <c r="AO25" s="551">
        <v>6.5000000000000002E-2</v>
      </c>
      <c r="AP25" s="126"/>
      <c r="AQ25" s="515"/>
      <c r="AR25" s="505"/>
      <c r="AS25" s="126"/>
      <c r="AT25" s="251"/>
      <c r="AU25" s="249"/>
      <c r="AV25" s="249"/>
      <c r="AW25" s="249"/>
      <c r="AX25" s="252"/>
      <c r="AY25" s="37"/>
      <c r="AZ25" s="98"/>
      <c r="BA25" s="253">
        <f>COUNTIF('PC2'!N:N,'Apportionment Bases'!A25)</f>
        <v>1</v>
      </c>
      <c r="BB25" s="253">
        <f>COUNTIF('PC5'!N:N,'Apportionment Bases'!A25)</f>
        <v>0</v>
      </c>
      <c r="BC25" s="253">
        <f>COUNTIF('PC8'!N:N,'Apportionment Bases'!A25)</f>
        <v>0</v>
      </c>
      <c r="BD25" s="253">
        <f>COUNTIF('PC15'!N:N,'Apportionment Bases'!A25)</f>
        <v>1</v>
      </c>
      <c r="BE25" s="253">
        <f>COUNTIF('PC21'!N:N,'Apportionment Bases'!A25)</f>
        <v>0</v>
      </c>
      <c r="BF25" s="254">
        <f>COUNTIF('PC24'!N:N,'Apportionment Bases'!A25)</f>
        <v>0</v>
      </c>
      <c r="BG25" s="397">
        <f t="shared" si="2"/>
        <v>2</v>
      </c>
      <c r="BH25" s="111"/>
    </row>
    <row r="26" spans="1:60" x14ac:dyDescent="0.25">
      <c r="A26" s="209" t="s">
        <v>14</v>
      </c>
      <c r="B26" s="265">
        <f>SUMIF('PC2'!N:N,'Apportionment Bases'!A26,'PC2'!L:L)</f>
        <v>28000</v>
      </c>
      <c r="C26" s="205">
        <f>SUMIF('PC5'!N:N,'Apportionment Bases'!A26,'PC5'!L:L)</f>
        <v>0</v>
      </c>
      <c r="D26" s="205">
        <f>SUMIF('PC8'!N:N,'Apportionment Bases'!A26,'PC8'!L:L)</f>
        <v>0</v>
      </c>
      <c r="E26" s="205">
        <f>SUMIF('PC12'!N:N,'Apportionment Bases'!$A$6:$A$33,'PC12'!L:L)</f>
        <v>0</v>
      </c>
      <c r="F26" s="205">
        <f>SUMIF('PC15'!N:N,'Apportionment Bases'!A26,'PC15'!L:L)</f>
        <v>100000</v>
      </c>
      <c r="G26" s="205">
        <f>SUMIF('PC17'!N:N,'Apportionment Bases'!A26,'PC17'!L:L)</f>
        <v>350000</v>
      </c>
      <c r="H26" s="205">
        <f>SUMIF('PC21'!N:N,'Apportionment Bases'!A26,'PC21'!L:L)</f>
        <v>0</v>
      </c>
      <c r="I26" s="205">
        <f>SUMIF('PC24'!N:N,'Apportionment Bases'!A26,'PC24'!L:L)</f>
        <v>0</v>
      </c>
      <c r="J26" s="393">
        <f t="shared" si="1"/>
        <v>478000</v>
      </c>
      <c r="K26" s="394">
        <f t="shared" si="8"/>
        <v>2.6570499985658601E-2</v>
      </c>
      <c r="L26" s="98"/>
      <c r="M26" s="481">
        <v>0</v>
      </c>
      <c r="N26" s="482">
        <v>1</v>
      </c>
      <c r="O26" s="483"/>
      <c r="P26" s="482">
        <v>0</v>
      </c>
      <c r="Q26" s="484">
        <v>0</v>
      </c>
      <c r="R26" s="126"/>
      <c r="S26" s="250"/>
      <c r="T26" s="506"/>
      <c r="U26" s="506"/>
      <c r="V26" s="506"/>
      <c r="W26" s="507"/>
      <c r="X26" s="126"/>
      <c r="Y26" s="515"/>
      <c r="Z26" s="505"/>
      <c r="AA26" s="161"/>
      <c r="AB26" s="515"/>
      <c r="AC26" s="505"/>
      <c r="AD26" s="126"/>
      <c r="AE26" s="250"/>
      <c r="AF26" s="482">
        <v>0.01</v>
      </c>
      <c r="AG26" s="482">
        <v>0.99</v>
      </c>
      <c r="AH26" s="483"/>
      <c r="AI26" s="484">
        <v>0</v>
      </c>
      <c r="AJ26" s="126"/>
      <c r="AK26" s="549">
        <v>0</v>
      </c>
      <c r="AL26" s="550">
        <v>0.04</v>
      </c>
      <c r="AM26" s="550">
        <v>0.96</v>
      </c>
      <c r="AN26" s="550">
        <v>0</v>
      </c>
      <c r="AO26" s="551">
        <v>0</v>
      </c>
      <c r="AP26" s="126"/>
      <c r="AQ26" s="515"/>
      <c r="AR26" s="505"/>
      <c r="AS26" s="126"/>
      <c r="AT26" s="251"/>
      <c r="AU26" s="249"/>
      <c r="AV26" s="249"/>
      <c r="AW26" s="249"/>
      <c r="AX26" s="252"/>
      <c r="AY26" s="37"/>
      <c r="AZ26" s="98"/>
      <c r="BA26" s="253">
        <f>COUNTIF('PC2'!N:N,'Apportionment Bases'!A26)</f>
        <v>1</v>
      </c>
      <c r="BB26" s="253">
        <f>COUNTIF('PC5'!N:N,'Apportionment Bases'!A26)</f>
        <v>0</v>
      </c>
      <c r="BC26" s="253">
        <f>COUNTIF('PC8'!N:N,'Apportionment Bases'!A26)</f>
        <v>0</v>
      </c>
      <c r="BD26" s="253">
        <f>COUNTIF('PC15'!N:N,'Apportionment Bases'!A26)</f>
        <v>1</v>
      </c>
      <c r="BE26" s="253">
        <f>COUNTIF('PC21'!N:N,'Apportionment Bases'!A26)</f>
        <v>0</v>
      </c>
      <c r="BF26" s="254">
        <f>COUNTIF('PC24'!N:N,'Apportionment Bases'!A26)</f>
        <v>0</v>
      </c>
      <c r="BG26" s="397">
        <f t="shared" si="2"/>
        <v>2</v>
      </c>
      <c r="BH26" s="111"/>
    </row>
    <row r="27" spans="1:60" x14ac:dyDescent="0.25">
      <c r="A27" s="209" t="s">
        <v>72</v>
      </c>
      <c r="B27" s="265">
        <f>SUMIF('PC2'!N:N,'Apportionment Bases'!A27,'PC2'!L:L)</f>
        <v>0</v>
      </c>
      <c r="C27" s="205">
        <f>SUMIF('PC5'!N:N,'Apportionment Bases'!A27,'PC5'!L:L)</f>
        <v>0</v>
      </c>
      <c r="D27" s="205">
        <f>SUMIF('PC8'!N:N,'Apportionment Bases'!A27,'PC8'!L:L)</f>
        <v>0</v>
      </c>
      <c r="E27" s="205">
        <f>SUMIF('PC12'!N:N,'Apportionment Bases'!$A$6:$A$33,'PC12'!L:L)</f>
        <v>0</v>
      </c>
      <c r="F27" s="205">
        <f>SUMIF('PC15'!N:N,'Apportionment Bases'!A27,'PC15'!L:L)</f>
        <v>2000</v>
      </c>
      <c r="G27" s="205">
        <f>SUMIF('PC17'!N:N,'Apportionment Bases'!A27,'PC17'!L:L)</f>
        <v>406000</v>
      </c>
      <c r="H27" s="205">
        <f>SUMIF('PC21'!N:N,'Apportionment Bases'!A27,'PC21'!L:L)</f>
        <v>0</v>
      </c>
      <c r="I27" s="205">
        <f>SUMIF('PC24'!N:N,'Apportionment Bases'!A27,'PC24'!L:L)</f>
        <v>0</v>
      </c>
      <c r="J27" s="393">
        <f t="shared" ref="J27" si="9">SUM(B27:I27)</f>
        <v>408000</v>
      </c>
      <c r="K27" s="394">
        <f t="shared" si="8"/>
        <v>2.2679422581901063E-2</v>
      </c>
      <c r="L27" s="98"/>
      <c r="M27" s="481">
        <v>0.2</v>
      </c>
      <c r="N27" s="482">
        <v>0.8</v>
      </c>
      <c r="O27" s="483"/>
      <c r="P27" s="482">
        <v>0</v>
      </c>
      <c r="Q27" s="484">
        <v>0</v>
      </c>
      <c r="R27" s="126"/>
      <c r="S27" s="250"/>
      <c r="T27" s="506"/>
      <c r="U27" s="506"/>
      <c r="V27" s="506"/>
      <c r="W27" s="507"/>
      <c r="X27" s="126"/>
      <c r="Y27" s="515"/>
      <c r="Z27" s="505"/>
      <c r="AA27" s="161"/>
      <c r="AB27" s="515"/>
      <c r="AC27" s="505"/>
      <c r="AD27" s="126"/>
      <c r="AE27" s="250"/>
      <c r="AF27" s="482">
        <v>0.43</v>
      </c>
      <c r="AG27" s="482">
        <v>0.56999999999999995</v>
      </c>
      <c r="AH27" s="483"/>
      <c r="AI27" s="484">
        <v>0</v>
      </c>
      <c r="AJ27" s="126"/>
      <c r="AK27" s="549">
        <v>0.82199999999999995</v>
      </c>
      <c r="AL27" s="550">
        <v>0.17499999999999999</v>
      </c>
      <c r="AM27" s="550">
        <v>3.0000000000000001E-3</v>
      </c>
      <c r="AN27" s="550">
        <v>0</v>
      </c>
      <c r="AO27" s="551">
        <v>0</v>
      </c>
      <c r="AP27" s="126"/>
      <c r="AQ27" s="515"/>
      <c r="AR27" s="505"/>
      <c r="AS27" s="126"/>
      <c r="AT27" s="251"/>
      <c r="AU27" s="249"/>
      <c r="AV27" s="249"/>
      <c r="AW27" s="249"/>
      <c r="AX27" s="252"/>
      <c r="AY27" s="37"/>
      <c r="AZ27" s="98"/>
      <c r="BA27" s="253"/>
      <c r="BB27" s="253"/>
      <c r="BC27" s="253"/>
      <c r="BD27" s="253"/>
      <c r="BE27" s="253"/>
      <c r="BF27" s="254"/>
      <c r="BG27" s="397"/>
      <c r="BH27" s="111"/>
    </row>
    <row r="28" spans="1:60" x14ac:dyDescent="0.25">
      <c r="A28" s="209" t="s">
        <v>15</v>
      </c>
      <c r="B28" s="265">
        <f>SUMIF('PC2'!N:N,'Apportionment Bases'!A28,'PC2'!L:L)</f>
        <v>100000</v>
      </c>
      <c r="C28" s="205">
        <f>SUMIF('PC5'!N:N,'Apportionment Bases'!A28,'PC5'!L:L)</f>
        <v>0</v>
      </c>
      <c r="D28" s="205">
        <f>SUMIF('PC8'!N:N,'Apportionment Bases'!A28,'PC8'!L:L)</f>
        <v>0</v>
      </c>
      <c r="E28" s="205">
        <f>SUMIF('PC12'!N:N,'Apportionment Bases'!$A$6:$A$33,'PC12'!L:L)</f>
        <v>0</v>
      </c>
      <c r="F28" s="205">
        <f>SUMIF('PC15'!N:N,'Apportionment Bases'!A28,'PC15'!L:L)</f>
        <v>30000</v>
      </c>
      <c r="G28" s="205">
        <f>SUMIF('PC17'!N:N,'Apportionment Bases'!A28,'PC17'!L:L)</f>
        <v>125000</v>
      </c>
      <c r="H28" s="205">
        <f>SUMIF('PC21'!N:N,'Apportionment Bases'!A28,'PC21'!L:L)</f>
        <v>0</v>
      </c>
      <c r="I28" s="205">
        <f>SUMIF('PC24'!N:N,'Apportionment Bases'!A28,'PC24'!L:L)</f>
        <v>0</v>
      </c>
      <c r="J28" s="393">
        <f t="shared" si="1"/>
        <v>255000</v>
      </c>
      <c r="K28" s="394">
        <f t="shared" si="8"/>
        <v>1.4174639113688166E-2</v>
      </c>
      <c r="L28" s="98"/>
      <c r="M28" s="481">
        <v>1</v>
      </c>
      <c r="N28" s="482">
        <v>0</v>
      </c>
      <c r="O28" s="483"/>
      <c r="P28" s="482">
        <v>0</v>
      </c>
      <c r="Q28" s="484">
        <v>0</v>
      </c>
      <c r="R28" s="126"/>
      <c r="S28" s="250"/>
      <c r="T28" s="506"/>
      <c r="U28" s="506"/>
      <c r="V28" s="506"/>
      <c r="W28" s="507"/>
      <c r="X28" s="126"/>
      <c r="Y28" s="515"/>
      <c r="Z28" s="505"/>
      <c r="AA28" s="161"/>
      <c r="AB28" s="515"/>
      <c r="AC28" s="505"/>
      <c r="AD28" s="126"/>
      <c r="AE28" s="250"/>
      <c r="AF28" s="482">
        <v>1</v>
      </c>
      <c r="AG28" s="482">
        <v>0</v>
      </c>
      <c r="AH28" s="483"/>
      <c r="AI28" s="484">
        <v>0</v>
      </c>
      <c r="AJ28" s="126"/>
      <c r="AK28" s="549">
        <v>1</v>
      </c>
      <c r="AL28" s="550">
        <v>0</v>
      </c>
      <c r="AM28" s="550">
        <v>0</v>
      </c>
      <c r="AN28" s="550">
        <v>0</v>
      </c>
      <c r="AO28" s="551">
        <v>0</v>
      </c>
      <c r="AP28" s="126"/>
      <c r="AQ28" s="515"/>
      <c r="AR28" s="505"/>
      <c r="AS28" s="126"/>
      <c r="AT28" s="251"/>
      <c r="AU28" s="249"/>
      <c r="AV28" s="249"/>
      <c r="AW28" s="249"/>
      <c r="AX28" s="252"/>
      <c r="AY28" s="37"/>
      <c r="AZ28" s="98"/>
      <c r="BA28" s="253">
        <f>COUNTIF('PC2'!N:N,'Apportionment Bases'!A28)</f>
        <v>1</v>
      </c>
      <c r="BB28" s="253">
        <f>COUNTIF('PC5'!N:N,'Apportionment Bases'!A28)</f>
        <v>0</v>
      </c>
      <c r="BC28" s="253">
        <f>COUNTIF('PC8'!N:N,'Apportionment Bases'!A28)</f>
        <v>0</v>
      </c>
      <c r="BD28" s="253">
        <f>COUNTIF('PC15'!N:N,'Apportionment Bases'!A28)</f>
        <v>1</v>
      </c>
      <c r="BE28" s="253">
        <f>COUNTIF('PC21'!N:N,'Apportionment Bases'!A28)</f>
        <v>0</v>
      </c>
      <c r="BF28" s="254">
        <f>COUNTIF('PC24'!N:N,'Apportionment Bases'!A28)</f>
        <v>0</v>
      </c>
      <c r="BG28" s="397">
        <f t="shared" si="2"/>
        <v>2</v>
      </c>
      <c r="BH28" s="111"/>
    </row>
    <row r="29" spans="1:60" x14ac:dyDescent="0.25">
      <c r="A29" s="209" t="s">
        <v>16</v>
      </c>
      <c r="B29" s="265">
        <f>SUMIF('PC2'!N:N,'Apportionment Bases'!A29,'PC2'!L:L)</f>
        <v>25000</v>
      </c>
      <c r="C29" s="205">
        <f>SUMIF('PC5'!N:N,'Apportionment Bases'!A29,'PC5'!L:L)</f>
        <v>0</v>
      </c>
      <c r="D29" s="205">
        <f>SUMIF('PC8'!N:N,'Apportionment Bases'!A29,'PC8'!L:L)</f>
        <v>0</v>
      </c>
      <c r="E29" s="205">
        <f>SUMIF('PC12'!N:N,'Apportionment Bases'!$A$6:$A$33,'PC12'!L:L)</f>
        <v>0</v>
      </c>
      <c r="F29" s="205">
        <f>SUMIF('PC15'!N:N,'Apportionment Bases'!A29,'PC15'!L:L)</f>
        <v>85000</v>
      </c>
      <c r="G29" s="205">
        <f>SUMIF('PC17'!N:N,'Apportionment Bases'!A29,'PC17'!L:L)</f>
        <v>50000</v>
      </c>
      <c r="H29" s="205">
        <f>SUMIF('PC21'!N:N,'Apportionment Bases'!A29,'PC21'!L:L)</f>
        <v>0</v>
      </c>
      <c r="I29" s="205">
        <f>SUMIF('PC24'!N:N,'Apportionment Bases'!A29,'PC24'!L:L)</f>
        <v>0</v>
      </c>
      <c r="J29" s="393">
        <f t="shared" si="1"/>
        <v>160000</v>
      </c>
      <c r="K29" s="394">
        <f t="shared" si="8"/>
        <v>8.8938912085886525E-3</v>
      </c>
      <c r="L29" s="98"/>
      <c r="M29" s="481">
        <v>0.46</v>
      </c>
      <c r="N29" s="482">
        <v>0.54</v>
      </c>
      <c r="O29" s="483"/>
      <c r="P29" s="482">
        <v>0</v>
      </c>
      <c r="Q29" s="484">
        <v>0</v>
      </c>
      <c r="R29" s="126"/>
      <c r="S29" s="250"/>
      <c r="T29" s="506"/>
      <c r="U29" s="506"/>
      <c r="V29" s="506"/>
      <c r="W29" s="507"/>
      <c r="X29" s="126"/>
      <c r="Y29" s="515"/>
      <c r="Z29" s="505"/>
      <c r="AA29" s="161"/>
      <c r="AB29" s="515"/>
      <c r="AC29" s="505"/>
      <c r="AD29" s="126"/>
      <c r="AE29" s="250"/>
      <c r="AF29" s="482">
        <v>1</v>
      </c>
      <c r="AG29" s="482">
        <v>0</v>
      </c>
      <c r="AH29" s="483"/>
      <c r="AI29" s="484">
        <v>0</v>
      </c>
      <c r="AJ29" s="126"/>
      <c r="AK29" s="549">
        <v>0.35</v>
      </c>
      <c r="AL29" s="550">
        <v>0.65</v>
      </c>
      <c r="AM29" s="552">
        <v>0</v>
      </c>
      <c r="AN29" s="552">
        <v>0</v>
      </c>
      <c r="AO29" s="517">
        <v>0</v>
      </c>
      <c r="AP29" s="126"/>
      <c r="AQ29" s="515"/>
      <c r="AR29" s="505"/>
      <c r="AS29" s="126"/>
      <c r="AT29" s="251"/>
      <c r="AU29" s="249"/>
      <c r="AV29" s="249"/>
      <c r="AW29" s="249"/>
      <c r="AX29" s="252"/>
      <c r="AY29" s="37"/>
      <c r="AZ29" s="98"/>
      <c r="BA29" s="253">
        <f>COUNTIF('PC2'!N:N,'Apportionment Bases'!A29)</f>
        <v>1</v>
      </c>
      <c r="BB29" s="253">
        <f>COUNTIF('PC5'!N:N,'Apportionment Bases'!A29)</f>
        <v>0</v>
      </c>
      <c r="BC29" s="253">
        <f>COUNTIF('PC8'!N:N,'Apportionment Bases'!A29)</f>
        <v>0</v>
      </c>
      <c r="BD29" s="253">
        <f>COUNTIF('PC15'!N:N,'Apportionment Bases'!A29)</f>
        <v>1</v>
      </c>
      <c r="BE29" s="253">
        <f>COUNTIF('PC21'!N:N,'Apportionment Bases'!A29)</f>
        <v>0</v>
      </c>
      <c r="BF29" s="254">
        <f>COUNTIF('PC24'!N:N,'Apportionment Bases'!A29)</f>
        <v>0</v>
      </c>
      <c r="BG29" s="397">
        <f t="shared" si="2"/>
        <v>2</v>
      </c>
      <c r="BH29" s="111"/>
    </row>
    <row r="30" spans="1:60" x14ac:dyDescent="0.25">
      <c r="A30" s="209" t="s">
        <v>17</v>
      </c>
      <c r="B30" s="265">
        <f>SUMIF('PC2'!N:N,'Apportionment Bases'!A30,'PC2'!L:L)</f>
        <v>23500</v>
      </c>
      <c r="C30" s="205">
        <f>SUMIF('PC5'!N:N,'Apportionment Bases'!A30,'PC5'!L:L)</f>
        <v>0</v>
      </c>
      <c r="D30" s="205">
        <f>SUMIF('PC8'!N:N,'Apportionment Bases'!A30,'PC8'!L:L)</f>
        <v>2500</v>
      </c>
      <c r="E30" s="205">
        <f>SUMIF('PC12'!N:N,'Apportionment Bases'!$A$6:$A$33,'PC12'!L:L)</f>
        <v>0</v>
      </c>
      <c r="F30" s="205">
        <f>SUMIF('PC15'!N:N,'Apportionment Bases'!A30,'PC15'!L:L)</f>
        <v>19504</v>
      </c>
      <c r="G30" s="205">
        <f>SUMIF('PC17'!N:N,'Apportionment Bases'!A30,'PC17'!L:L)</f>
        <v>33020</v>
      </c>
      <c r="H30" s="205">
        <f>SUMIF('PC21'!N:N,'Apportionment Bases'!A30,'PC21'!L:L)</f>
        <v>0</v>
      </c>
      <c r="I30" s="205">
        <f>SUMIF('PC24'!N:N,'Apportionment Bases'!A30,'PC24'!L:L)</f>
        <v>0</v>
      </c>
      <c r="J30" s="393">
        <f t="shared" si="1"/>
        <v>78524</v>
      </c>
      <c r="K30" s="394">
        <f t="shared" si="8"/>
        <v>4.3648994578950962E-3</v>
      </c>
      <c r="L30" s="98"/>
      <c r="M30" s="481">
        <v>0.25</v>
      </c>
      <c r="N30" s="482">
        <v>0.75</v>
      </c>
      <c r="O30" s="483"/>
      <c r="P30" s="482">
        <v>0</v>
      </c>
      <c r="Q30" s="484">
        <v>0</v>
      </c>
      <c r="R30" s="126"/>
      <c r="S30" s="250"/>
      <c r="T30" s="506"/>
      <c r="U30" s="506"/>
      <c r="V30" s="506"/>
      <c r="W30" s="507"/>
      <c r="X30" s="126"/>
      <c r="Y30" s="516">
        <v>1</v>
      </c>
      <c r="Z30" s="517">
        <v>0</v>
      </c>
      <c r="AA30" s="161"/>
      <c r="AB30" s="532"/>
      <c r="AC30" s="533"/>
      <c r="AD30" s="126"/>
      <c r="AE30" s="250"/>
      <c r="AF30" s="541">
        <v>0.5</v>
      </c>
      <c r="AG30" s="541">
        <v>0.5</v>
      </c>
      <c r="AH30" s="483"/>
      <c r="AI30" s="542"/>
      <c r="AJ30" s="126"/>
      <c r="AK30" s="549">
        <v>0.25</v>
      </c>
      <c r="AL30" s="550">
        <v>0.5</v>
      </c>
      <c r="AM30" s="550">
        <v>0.25</v>
      </c>
      <c r="AN30" s="552">
        <v>0</v>
      </c>
      <c r="AO30" s="517">
        <v>0</v>
      </c>
      <c r="AP30" s="126"/>
      <c r="AQ30" s="515"/>
      <c r="AR30" s="505"/>
      <c r="AS30" s="126"/>
      <c r="AT30" s="251"/>
      <c r="AU30" s="249"/>
      <c r="AV30" s="249"/>
      <c r="AW30" s="249"/>
      <c r="AX30" s="252"/>
      <c r="AY30" s="37"/>
      <c r="AZ30" s="98"/>
      <c r="BA30" s="253">
        <f>COUNTIF('PC2'!N:N,'Apportionment Bases'!A30)</f>
        <v>2</v>
      </c>
      <c r="BB30" s="253">
        <f>COUNTIF('PC5'!N:N,'Apportionment Bases'!A30)</f>
        <v>0</v>
      </c>
      <c r="BC30" s="253">
        <f>COUNTIF('PC8'!N:N,'Apportionment Bases'!A30)</f>
        <v>1</v>
      </c>
      <c r="BD30" s="253">
        <f>COUNTIF('PC15'!N:N,'Apportionment Bases'!A30)</f>
        <v>2</v>
      </c>
      <c r="BE30" s="253">
        <f>COUNTIF('PC21'!N:N,'Apportionment Bases'!A30)</f>
        <v>0</v>
      </c>
      <c r="BF30" s="254">
        <f>COUNTIF('PC24'!N:N,'Apportionment Bases'!A30)</f>
        <v>0</v>
      </c>
      <c r="BG30" s="397">
        <f t="shared" si="2"/>
        <v>5</v>
      </c>
      <c r="BH30" s="111"/>
    </row>
    <row r="31" spans="1:60" x14ac:dyDescent="0.25">
      <c r="A31" s="209" t="s">
        <v>22</v>
      </c>
      <c r="B31" s="265">
        <f>SUMIF('PC2'!N:N,'Apportionment Bases'!A31,'PC2'!L:L)</f>
        <v>16000</v>
      </c>
      <c r="C31" s="205">
        <f>SUMIF('PC5'!N:N,'Apportionment Bases'!A31,'PC5'!L:L)</f>
        <v>0</v>
      </c>
      <c r="D31" s="205">
        <f>SUMIF('PC8'!N:N,'Apportionment Bases'!A31,'PC8'!L:L)</f>
        <v>0</v>
      </c>
      <c r="E31" s="205">
        <f>SUMIF('PC12'!N:N,'Apportionment Bases'!$A$6:$A$33,'PC12'!L:L)</f>
        <v>0</v>
      </c>
      <c r="F31" s="205">
        <f>SUMIF('PC15'!N:N,'Apportionment Bases'!A31,'PC15'!L:L)</f>
        <v>2000</v>
      </c>
      <c r="G31" s="205">
        <f>SUMIF('PC17'!N:N,'Apportionment Bases'!A31,'PC17'!L:L)</f>
        <v>42000</v>
      </c>
      <c r="H31" s="205">
        <f>SUMIF('PC21'!N:N,'Apportionment Bases'!A31,'PC21'!L:L)</f>
        <v>0</v>
      </c>
      <c r="I31" s="205">
        <f>SUMIF('PC24'!N:N,'Apportionment Bases'!A31,'PC24'!L:L)</f>
        <v>0</v>
      </c>
      <c r="J31" s="393">
        <f t="shared" si="1"/>
        <v>60000</v>
      </c>
      <c r="K31" s="394">
        <f t="shared" si="8"/>
        <v>3.3352092032207449E-3</v>
      </c>
      <c r="L31" s="98"/>
      <c r="M31" s="481">
        <v>0.2</v>
      </c>
      <c r="N31" s="482">
        <v>0.8</v>
      </c>
      <c r="O31" s="483"/>
      <c r="P31" s="482">
        <v>0</v>
      </c>
      <c r="Q31" s="484">
        <v>0</v>
      </c>
      <c r="R31" s="126"/>
      <c r="S31" s="250"/>
      <c r="T31" s="506"/>
      <c r="U31" s="506"/>
      <c r="V31" s="506"/>
      <c r="W31" s="507"/>
      <c r="X31" s="126"/>
      <c r="Y31" s="518"/>
      <c r="Z31" s="519"/>
      <c r="AA31" s="161"/>
      <c r="AB31" s="515"/>
      <c r="AC31" s="505"/>
      <c r="AD31" s="126"/>
      <c r="AE31" s="250"/>
      <c r="AF31" s="482">
        <v>1</v>
      </c>
      <c r="AG31" s="482">
        <v>0</v>
      </c>
      <c r="AH31" s="483"/>
      <c r="AI31" s="484">
        <v>0</v>
      </c>
      <c r="AJ31" s="126"/>
      <c r="AK31" s="549">
        <v>0.92600000000000005</v>
      </c>
      <c r="AL31" s="550">
        <v>7.3999999999999996E-2</v>
      </c>
      <c r="AM31" s="552">
        <v>0</v>
      </c>
      <c r="AN31" s="552">
        <v>0</v>
      </c>
      <c r="AO31" s="517">
        <v>0</v>
      </c>
      <c r="AP31" s="126"/>
      <c r="AQ31" s="532"/>
      <c r="AR31" s="533"/>
      <c r="AS31" s="126"/>
      <c r="AT31" s="251"/>
      <c r="AU31" s="249"/>
      <c r="AV31" s="249"/>
      <c r="AW31" s="249"/>
      <c r="AX31" s="252"/>
      <c r="AY31" s="37"/>
      <c r="AZ31" s="98"/>
      <c r="BA31" s="253">
        <f>COUNTIF('PC2'!N:N,'Apportionment Bases'!A31)</f>
        <v>1</v>
      </c>
      <c r="BB31" s="253">
        <f>COUNTIF('PC5'!N:N,'Apportionment Bases'!A31)</f>
        <v>0</v>
      </c>
      <c r="BC31" s="253">
        <f>COUNTIF('PC8'!N:N,'Apportionment Bases'!A31)</f>
        <v>0</v>
      </c>
      <c r="BD31" s="253">
        <f>COUNTIF('PC15'!N:N,'Apportionment Bases'!A31)</f>
        <v>1</v>
      </c>
      <c r="BE31" s="253">
        <f>COUNTIF('PC21'!N:N,'Apportionment Bases'!A31)</f>
        <v>0</v>
      </c>
      <c r="BF31" s="254">
        <f>COUNTIF('PC24'!N:N,'Apportionment Bases'!A31)</f>
        <v>0</v>
      </c>
      <c r="BG31" s="397">
        <f t="shared" si="2"/>
        <v>2</v>
      </c>
      <c r="BH31" s="111"/>
    </row>
    <row r="32" spans="1:60" x14ac:dyDescent="0.25">
      <c r="A32" s="211" t="s">
        <v>692</v>
      </c>
      <c r="B32" s="265">
        <f>SUMIF('PC2'!N:N,'Apportionment Bases'!A32,'PC2'!L:L)</f>
        <v>0</v>
      </c>
      <c r="C32" s="205">
        <f>SUMIF('PC5'!N:N,'Apportionment Bases'!A32,'PC5'!L:L)</f>
        <v>0</v>
      </c>
      <c r="D32" s="205">
        <f>SUMIF('PC8'!N:N,'Apportionment Bases'!A32,'PC8'!L:L)</f>
        <v>0</v>
      </c>
      <c r="E32" s="205">
        <f>SUMIF('PC12'!N:N,'Apportionment Bases'!$A$6:$A$33,'PC12'!L:L)</f>
        <v>157083</v>
      </c>
      <c r="F32" s="205">
        <f>SUMIF('PC15'!N:N,'Apportionment Bases'!A32,'PC15'!L:L)</f>
        <v>0</v>
      </c>
      <c r="G32" s="205">
        <f>SUMIF('PC17'!N:N,'Apportionment Bases'!A32,'PC17'!L:L)</f>
        <v>0</v>
      </c>
      <c r="H32" s="205">
        <f>SUMIF('PC21'!N:N,'Apportionment Bases'!A32,'PC21'!L:L)</f>
        <v>0</v>
      </c>
      <c r="I32" s="205">
        <f>SUMIF('PC24'!N:N,'Apportionment Bases'!A32,'PC24'!L:L)</f>
        <v>0</v>
      </c>
      <c r="J32" s="393">
        <f t="shared" ref="J32" si="10">SUM(B32:I32)</f>
        <v>157083</v>
      </c>
      <c r="K32" s="394">
        <f t="shared" si="8"/>
        <v>8.7317444544920703E-3</v>
      </c>
      <c r="L32" s="98"/>
      <c r="M32" s="486"/>
      <c r="N32" s="485"/>
      <c r="O32" s="485"/>
      <c r="P32" s="485"/>
      <c r="Q32" s="487"/>
      <c r="R32" s="126"/>
      <c r="S32" s="250"/>
      <c r="T32" s="506"/>
      <c r="U32" s="506"/>
      <c r="V32" s="506"/>
      <c r="W32" s="507"/>
      <c r="X32" s="126"/>
      <c r="Y32" s="518"/>
      <c r="Z32" s="519"/>
      <c r="AA32" s="161"/>
      <c r="AB32" s="534">
        <v>0.5</v>
      </c>
      <c r="AC32" s="535">
        <v>0.5</v>
      </c>
      <c r="AD32" s="126"/>
      <c r="AE32" s="250"/>
      <c r="AF32" s="405"/>
      <c r="AG32" s="405"/>
      <c r="AH32" s="405"/>
      <c r="AI32" s="406"/>
      <c r="AJ32" s="126"/>
      <c r="AK32" s="250"/>
      <c r="AL32" s="405"/>
      <c r="AM32" s="405"/>
      <c r="AN32" s="405"/>
      <c r="AO32" s="406"/>
      <c r="AP32" s="126"/>
      <c r="AQ32" s="395"/>
      <c r="AR32" s="396"/>
      <c r="AS32" s="126"/>
      <c r="AT32" s="251"/>
      <c r="AU32" s="249"/>
      <c r="AV32" s="249"/>
      <c r="AW32" s="249"/>
      <c r="AX32" s="252"/>
      <c r="AY32" s="102"/>
      <c r="AZ32" s="98"/>
      <c r="BA32" s="253">
        <f>COUNTIF('PC2'!N:N,'Apportionment Bases'!A32)</f>
        <v>0</v>
      </c>
      <c r="BB32" s="253">
        <f>COUNTIF('PC5'!N:N,'Apportionment Bases'!A32)</f>
        <v>0</v>
      </c>
      <c r="BC32" s="253">
        <f>COUNTIF('PC8'!N:N,'Apportionment Bases'!A32)</f>
        <v>0</v>
      </c>
      <c r="BD32" s="253">
        <f>COUNTIF('PC15'!N:N,'Apportionment Bases'!A32)</f>
        <v>0</v>
      </c>
      <c r="BE32" s="253">
        <f>COUNTIF('PC21'!N:N,'Apportionment Bases'!A32)</f>
        <v>0</v>
      </c>
      <c r="BF32" s="254">
        <f>COUNTIF('PC24'!N:N,'Apportionment Bases'!A32)</f>
        <v>0</v>
      </c>
      <c r="BG32" s="397">
        <f t="shared" ref="BG32" si="11">SUM(BA32:BF32)</f>
        <v>0</v>
      </c>
      <c r="BH32" s="111"/>
    </row>
    <row r="33" spans="1:60" x14ac:dyDescent="0.25">
      <c r="A33" s="212" t="s">
        <v>263</v>
      </c>
      <c r="B33" s="265">
        <f>SUMIF('PC2'!N:N,'Apportionment Bases'!A33,'PC2'!L:L)</f>
        <v>0</v>
      </c>
      <c r="C33" s="205">
        <f>SUMIF('PC5'!N:N,'Apportionment Bases'!A33,'PC5'!L:L)</f>
        <v>0</v>
      </c>
      <c r="D33" s="205">
        <f>SUMIF('PC8'!N:N,'Apportionment Bases'!A33,'PC8'!L:L)</f>
        <v>2199</v>
      </c>
      <c r="E33" s="205">
        <f>SUMIF('PC12'!N:N,'Apportionment Bases'!$A$6:$A$33,'PC12'!L:L)</f>
        <v>0</v>
      </c>
      <c r="F33" s="205">
        <f>SUMIF('PC15'!N:N,'Apportionment Bases'!A33,'PC15'!L:L)</f>
        <v>0</v>
      </c>
      <c r="G33" s="205">
        <f>SUMIF('PC17'!N:N,'Apportionment Bases'!A33,'PC17'!L:L)</f>
        <v>0</v>
      </c>
      <c r="H33" s="205">
        <f>SUMIF('PC21'!N:N,'Apportionment Bases'!A33,'PC21'!L:L)</f>
        <v>0</v>
      </c>
      <c r="I33" s="205">
        <f>SUMIF('PC24'!N:N,'Apportionment Bases'!A33,'PC24'!L:L)</f>
        <v>0</v>
      </c>
      <c r="J33" s="393">
        <f t="shared" si="1"/>
        <v>2199</v>
      </c>
      <c r="K33" s="394">
        <f t="shared" si="8"/>
        <v>1.222354172980403E-4</v>
      </c>
      <c r="L33" s="98"/>
      <c r="M33" s="486"/>
      <c r="N33" s="485"/>
      <c r="O33" s="485"/>
      <c r="P33" s="485"/>
      <c r="Q33" s="487"/>
      <c r="R33" s="126"/>
      <c r="S33" s="250"/>
      <c r="T33" s="506"/>
      <c r="U33" s="506"/>
      <c r="V33" s="506"/>
      <c r="W33" s="507"/>
      <c r="X33" s="437"/>
      <c r="Y33" s="516">
        <v>0</v>
      </c>
      <c r="Z33" s="517">
        <v>1</v>
      </c>
      <c r="AA33" s="161"/>
      <c r="AB33" s="250"/>
      <c r="AC33" s="406"/>
      <c r="AD33" s="126"/>
      <c r="AE33" s="250"/>
      <c r="AF33" s="405"/>
      <c r="AG33" s="405"/>
      <c r="AH33" s="405"/>
      <c r="AI33" s="406"/>
      <c r="AJ33" s="126"/>
      <c r="AK33" s="250"/>
      <c r="AL33" s="405"/>
      <c r="AM33" s="405"/>
      <c r="AN33" s="405"/>
      <c r="AO33" s="406"/>
      <c r="AP33" s="126"/>
      <c r="AQ33" s="407"/>
      <c r="AR33" s="408"/>
      <c r="AS33" s="126"/>
      <c r="AT33" s="251"/>
      <c r="AU33" s="249"/>
      <c r="AV33" s="249"/>
      <c r="AW33" s="249"/>
      <c r="AX33" s="252"/>
      <c r="AY33" s="102"/>
      <c r="AZ33" s="163"/>
      <c r="BA33" s="253">
        <f>COUNTIF('PC2'!N:N,'Apportionment Bases'!A33)</f>
        <v>0</v>
      </c>
      <c r="BB33" s="253">
        <f>COUNTIF('PC5'!N:N,'Apportionment Bases'!A33)</f>
        <v>0</v>
      </c>
      <c r="BC33" s="253">
        <f>COUNTIF('PC8'!N:N,'Apportionment Bases'!A33)</f>
        <v>1</v>
      </c>
      <c r="BD33" s="253">
        <f>COUNTIF('PC15'!N:N,'Apportionment Bases'!A33)</f>
        <v>0</v>
      </c>
      <c r="BE33" s="253">
        <f>COUNTIF('PC21'!N:N,'Apportionment Bases'!A33)</f>
        <v>0</v>
      </c>
      <c r="BF33" s="254">
        <f>COUNTIF('PC24'!N:N,'Apportionment Bases'!A33)</f>
        <v>0</v>
      </c>
      <c r="BG33" s="409">
        <f t="shared" si="2"/>
        <v>1</v>
      </c>
      <c r="BH33" s="111"/>
    </row>
    <row r="34" spans="1:60" ht="15.75" thickBot="1" x14ac:dyDescent="0.3">
      <c r="B34" s="85"/>
      <c r="C34" s="85"/>
      <c r="D34" s="85"/>
      <c r="E34" s="85"/>
      <c r="F34" s="85"/>
      <c r="G34" s="85"/>
      <c r="H34" s="85"/>
      <c r="I34" s="85"/>
      <c r="J34" s="398"/>
      <c r="K34" s="399"/>
      <c r="L34" s="98"/>
      <c r="M34" s="37"/>
      <c r="N34" s="37"/>
      <c r="O34" s="37"/>
      <c r="P34" s="37"/>
      <c r="Q34" s="37"/>
      <c r="R34" s="98"/>
      <c r="S34" s="37"/>
      <c r="T34" s="400"/>
      <c r="U34" s="37"/>
      <c r="V34" s="37"/>
      <c r="W34" s="400"/>
      <c r="X34" s="98"/>
      <c r="Y34" s="400"/>
      <c r="Z34" s="400"/>
      <c r="AA34" s="37"/>
      <c r="AB34" s="37"/>
      <c r="AC34" s="37"/>
      <c r="AD34" s="98"/>
      <c r="AE34" s="37"/>
      <c r="AF34" s="37"/>
      <c r="AG34" s="37"/>
      <c r="AH34" s="37"/>
      <c r="AI34" s="37"/>
      <c r="AJ34" s="98"/>
      <c r="AK34" s="400"/>
      <c r="AL34" s="400"/>
      <c r="AM34" s="400"/>
      <c r="AN34" s="400"/>
      <c r="AO34" s="400"/>
      <c r="AP34" s="98"/>
      <c r="AQ34" s="37"/>
      <c r="AR34" s="37"/>
      <c r="AS34" s="98"/>
      <c r="AT34" s="37"/>
      <c r="AU34" s="37"/>
      <c r="AV34" s="37"/>
      <c r="AW34" s="37"/>
      <c r="AX34" s="37"/>
      <c r="AY34" s="37"/>
      <c r="AZ34" s="401" t="s">
        <v>187</v>
      </c>
      <c r="BA34" s="401">
        <f>SUM(BA6:BA33)</f>
        <v>83</v>
      </c>
      <c r="BB34" s="401">
        <f t="shared" ref="BB34:BG34" si="12">SUM(BB6:BB33)</f>
        <v>41</v>
      </c>
      <c r="BC34" s="401">
        <f t="shared" si="12"/>
        <v>21</v>
      </c>
      <c r="BD34" s="401">
        <f t="shared" si="12"/>
        <v>73</v>
      </c>
      <c r="BE34" s="401">
        <f t="shared" si="12"/>
        <v>11</v>
      </c>
      <c r="BF34" s="401">
        <f t="shared" si="12"/>
        <v>34</v>
      </c>
      <c r="BG34" s="402">
        <f t="shared" si="12"/>
        <v>263</v>
      </c>
      <c r="BH34" s="111"/>
    </row>
    <row r="35" spans="1:60" ht="16.5" thickTop="1" thickBot="1" x14ac:dyDescent="0.3">
      <c r="A35" s="717" t="s">
        <v>187</v>
      </c>
      <c r="B35" s="24">
        <f t="shared" ref="B35:I35" si="13">SUM(B6:B33)</f>
        <v>5689502</v>
      </c>
      <c r="C35" s="24">
        <f t="shared" si="13"/>
        <v>475864</v>
      </c>
      <c r="D35" s="24">
        <f t="shared" si="13"/>
        <v>192200</v>
      </c>
      <c r="E35" s="24">
        <f t="shared" si="13"/>
        <v>244907</v>
      </c>
      <c r="F35" s="24">
        <f t="shared" si="13"/>
        <v>3000390</v>
      </c>
      <c r="G35" s="24">
        <f t="shared" si="13"/>
        <v>7849564</v>
      </c>
      <c r="H35" s="24">
        <f t="shared" si="13"/>
        <v>63231</v>
      </c>
      <c r="I35" s="24">
        <f t="shared" si="13"/>
        <v>474218</v>
      </c>
      <c r="J35" s="24">
        <f>SUM(J6:J33)</f>
        <v>17989876</v>
      </c>
      <c r="K35" s="413">
        <f>SUM(K6:K33)</f>
        <v>1.0000000000000002</v>
      </c>
    </row>
    <row r="36" spans="1:60" ht="15.75" thickTop="1" x14ac:dyDescent="0.25">
      <c r="A36" s="717" t="s">
        <v>696</v>
      </c>
      <c r="J36" s="67">
        <f>'Cost Summary'!L19-'Apportionment Bases'!J35</f>
        <v>85</v>
      </c>
    </row>
    <row r="37" spans="1:60" x14ac:dyDescent="0.25">
      <c r="L37" s="173"/>
    </row>
    <row r="39" spans="1:60" x14ac:dyDescent="0.25">
      <c r="P39" s="160"/>
    </row>
    <row r="41" spans="1:60" x14ac:dyDescent="0.25">
      <c r="O41" s="85"/>
    </row>
  </sheetData>
  <mergeCells count="19">
    <mergeCell ref="M3:Q3"/>
    <mergeCell ref="S3:W3"/>
    <mergeCell ref="A1:K1"/>
    <mergeCell ref="A2:K2"/>
    <mergeCell ref="S4:W4"/>
    <mergeCell ref="M4:Q4"/>
    <mergeCell ref="AE4:AI4"/>
    <mergeCell ref="AK4:AO4"/>
    <mergeCell ref="AB4:AC4"/>
    <mergeCell ref="Y4:Z4"/>
    <mergeCell ref="BA4:BG4"/>
    <mergeCell ref="AT4:AX4"/>
    <mergeCell ref="AQ4:AR4"/>
    <mergeCell ref="AT3:AX3"/>
    <mergeCell ref="Y3:Z3"/>
    <mergeCell ref="AB3:AC3"/>
    <mergeCell ref="AE3:AI3"/>
    <mergeCell ref="AK3:AO3"/>
    <mergeCell ref="AQ3:AR3"/>
  </mergeCells>
  <conditionalFormatting sqref="A1:A1048576">
    <cfRule type="containsText" dxfId="1168" priority="3" operator="containsText" text="Insurance">
      <formula>NOT(ISERROR(SEARCH("Insurance",A1)))</formula>
    </cfRule>
    <cfRule type="containsText" dxfId="1167" priority="4" operator="containsText" text="Region 9">
      <formula>NOT(ISERROR(SEARCH("Region 9",A1)))</formula>
    </cfRule>
    <cfRule type="containsText" dxfId="1166" priority="5" operator="containsText" text="ETM">
      <formula>NOT(ISERROR(SEARCH("ETM",A1)))</formula>
    </cfRule>
    <cfRule type="containsText" dxfId="1165" priority="6" operator="containsText" text="Outfall">
      <formula>NOT(ISERROR(SEARCH("Outfall",A1)))</formula>
    </cfRule>
    <cfRule type="containsText" dxfId="1164" priority="7" operator="containsText" text="Petroleum">
      <formula>NOT(ISERROR(SEARCH("Petroleum",A1)))</formula>
    </cfRule>
    <cfRule type="containsText" dxfId="1163" priority="8" operator="containsText" text="Laboratory">
      <formula>NOT(ISERROR(SEARCH("Laboratory",A1)))</formula>
    </cfRule>
    <cfRule type="containsText" dxfId="1162" priority="9" operator="containsText" text="Odor Control">
      <formula>NOT(ISERROR(SEARCH("Odor Control",A1)))</formula>
    </cfRule>
    <cfRule type="containsText" dxfId="1161" priority="10" operator="containsText" text="Ferric">
      <formula>NOT(ISERROR(SEARCH("Ferric",A1)))</formula>
    </cfRule>
    <cfRule type="containsText" dxfId="1160" priority="11" operator="containsText" text="Chlorine">
      <formula>NOT(ISERROR(SEARCH("Chlorine",A1)))</formula>
    </cfRule>
    <cfRule type="containsText" dxfId="1159" priority="12" operator="containsText" text="Potable">
      <formula>NOT(ISERROR(SEARCH("Potable",A1)))</formula>
    </cfRule>
    <cfRule type="containsText" dxfId="1158" priority="13" operator="containsText" text="Natural Gas">
      <formula>NOT(ISERROR(SEARCH("Natural Gas",A1)))</formula>
    </cfRule>
    <cfRule type="containsText" dxfId="1157" priority="14" operator="containsText" text="Electricity">
      <formula>NOT(ISERROR(SEARCH("Electricity",A1)))</formula>
    </cfRule>
    <cfRule type="containsText" dxfId="1156" priority="15" operator="containsText" text="Single Area">
      <formula>NOT(ISERROR(SEARCH("Single Area",A1)))</formula>
    </cfRule>
    <cfRule type="containsText" dxfId="1155" priority="16" operator="containsText" text="Actual Use">
      <formula>NOT(ISERROR(SEARCH("Actual Use",A1)))</formula>
    </cfRule>
    <cfRule type="containsText" dxfId="1154" priority="17" operator="containsText" text="Labor -">
      <formula>NOT(ISERROR(SEARCH("Labor -",A1)))</formula>
    </cfRule>
  </conditionalFormatting>
  <conditionalFormatting sqref="A27">
    <cfRule type="containsText" dxfId="1153" priority="2" operator="containsText" text="Polymer Products">
      <formula>NOT(ISERROR(SEARCH("Polymer Products",A27)))</formula>
    </cfRule>
  </conditionalFormatting>
  <conditionalFormatting sqref="A32">
    <cfRule type="cellIs" dxfId="1152" priority="1" operator="equal">
      <formula>$A$32</formula>
    </cfRule>
  </conditionalFormatting>
  <pageMargins left="0.25" right="0.25" top="0.75" bottom="0.75" header="0.3" footer="0.3"/>
  <pageSetup paperSize="17" scale="5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CP49"/>
  <sheetViews>
    <sheetView showGridLines="0" zoomScale="90" zoomScaleNormal="90" workbookViewId="0">
      <pane xSplit="14" ySplit="5" topLeftCell="O6" activePane="bottomRight" state="frozen"/>
      <selection activeCell="B37" sqref="B37:L37"/>
      <selection pane="topRight" activeCell="B37" sqref="B37:L37"/>
      <selection pane="bottomLeft" activeCell="B37" sqref="B37:L37"/>
      <selection pane="bottomRight" activeCell="L44" activeCellId="1" sqref="L17 L44"/>
    </sheetView>
  </sheetViews>
  <sheetFormatPr defaultRowHeight="15" outlineLevelCol="1" x14ac:dyDescent="0.25"/>
  <cols>
    <col min="1" max="1" width="3.85546875" style="3" bestFit="1" customWidth="1"/>
    <col min="2" max="2" width="13.28515625" style="3" bestFit="1" customWidth="1"/>
    <col min="3" max="3" width="5.28515625" style="3" hidden="1" customWidth="1" outlineLevel="1"/>
    <col min="4" max="4" width="4.85546875" style="3" hidden="1" customWidth="1" outlineLevel="1"/>
    <col min="5" max="5" width="4" style="3" hidden="1" customWidth="1" outlineLevel="1"/>
    <col min="6" max="6" width="17.140625" hidden="1" customWidth="1" outlineLevel="1"/>
    <col min="7" max="7" width="43.42578125" bestFit="1" customWidth="1" collapsed="1"/>
    <col min="8" max="11" width="9.5703125" hidden="1" customWidth="1" outlineLevel="1"/>
    <col min="12" max="12" width="17.140625" bestFit="1" customWidth="1" collapsed="1"/>
    <col min="13" max="13" width="3.28515625" customWidth="1"/>
    <col min="14" max="14" width="28.140625" bestFit="1" customWidth="1"/>
    <col min="15" max="15" width="2.85546875" customWidth="1"/>
    <col min="16" max="16" width="6.28515625" bestFit="1" customWidth="1"/>
    <col min="17" max="17" width="12.5703125" bestFit="1" customWidth="1"/>
    <col min="18" max="18" width="5.28515625" bestFit="1" customWidth="1"/>
    <col min="19" max="19" width="8.28515625" bestFit="1" customWidth="1"/>
    <col min="20" max="20" width="9.28515625" bestFit="1" customWidth="1"/>
    <col min="21" max="21" width="2.85546875" customWidth="1"/>
    <col min="22" max="22" width="6.28515625" bestFit="1" customWidth="1"/>
    <col min="23" max="23" width="12.5703125" bestFit="1" customWidth="1"/>
    <col min="24" max="24" width="5.28515625" customWidth="1"/>
    <col min="25" max="25" width="8.28515625" bestFit="1" customWidth="1"/>
    <col min="26" max="26" width="10.7109375" bestFit="1" customWidth="1"/>
    <col min="27" max="27" width="8.85546875" customWidth="1"/>
    <col min="28" max="28" width="7.5703125" bestFit="1" customWidth="1"/>
    <col min="29" max="29" width="6.28515625" bestFit="1" customWidth="1"/>
    <col min="30" max="30" width="12.5703125" bestFit="1" customWidth="1"/>
    <col min="31" max="31" width="5.28515625" customWidth="1"/>
    <col min="32" max="32" width="8.28515625" bestFit="1" customWidth="1"/>
    <col min="33" max="33" width="9.28515625" bestFit="1" customWidth="1"/>
    <col min="34" max="34" width="2" customWidth="1"/>
    <col min="35" max="39" width="0" hidden="1" customWidth="1"/>
    <col min="40" max="40" width="3.5703125" hidden="1" customWidth="1"/>
    <col min="41" max="41" width="6.28515625" style="85" bestFit="1" customWidth="1"/>
    <col min="42" max="42" width="12.5703125" style="111" bestFit="1" customWidth="1"/>
    <col min="43" max="43" width="6.7109375" style="111" bestFit="1" customWidth="1"/>
    <col min="44" max="44" width="9.7109375" style="111" customWidth="1"/>
    <col min="45" max="45" width="10.7109375" style="111" bestFit="1" customWidth="1"/>
    <col min="46" max="46" width="2" style="85" customWidth="1"/>
    <col min="47" max="47" width="6.28515625" style="85" bestFit="1" customWidth="1"/>
    <col min="48" max="48" width="12.5703125" style="85" bestFit="1" customWidth="1"/>
    <col min="49" max="49" width="5.28515625" style="85" bestFit="1" customWidth="1"/>
    <col min="50" max="50" width="8.28515625" style="85" customWidth="1"/>
    <col min="51" max="51" width="9.28515625" style="85" bestFit="1" customWidth="1"/>
    <col min="52" max="52" width="2" style="85" customWidth="1"/>
    <col min="53" max="57" width="0" style="85" hidden="1" customWidth="1"/>
    <col min="58" max="58" width="3.7109375" style="85" hidden="1" customWidth="1"/>
    <col min="59" max="59" width="6.28515625" style="85" bestFit="1" customWidth="1"/>
    <col min="60" max="60" width="12.5703125" style="85" bestFit="1" customWidth="1"/>
    <col min="61" max="61" width="5.28515625" style="85" bestFit="1" customWidth="1"/>
    <col min="62" max="62" width="8.28515625" style="85" bestFit="1" customWidth="1"/>
    <col min="63" max="63" width="9.28515625" style="85" bestFit="1" customWidth="1"/>
    <col min="64" max="64" width="2" style="85" customWidth="1"/>
    <col min="65" max="65" width="6.28515625" style="85" bestFit="1" customWidth="1"/>
    <col min="66" max="66" width="12.5703125" style="85" bestFit="1" customWidth="1"/>
    <col min="67" max="67" width="5.28515625" style="85" bestFit="1" customWidth="1"/>
    <col min="68" max="68" width="8.28515625" style="85" bestFit="1" customWidth="1"/>
    <col min="69" max="69" width="9.28515625" style="85" bestFit="1" customWidth="1"/>
    <col min="70" max="70" width="3.28515625" style="85" hidden="1" customWidth="1"/>
    <col min="71" max="75" width="0" style="85" hidden="1" customWidth="1"/>
    <col min="76" max="76" width="3.28515625" style="85" hidden="1" customWidth="1"/>
    <col min="77" max="81" width="0" style="85" hidden="1" customWidth="1"/>
    <col min="82" max="82" width="2" style="85" customWidth="1"/>
    <col min="83" max="83" width="6.28515625" style="85" bestFit="1" customWidth="1"/>
    <col min="84" max="84" width="12.5703125" style="85" bestFit="1" customWidth="1"/>
    <col min="85" max="85" width="5.28515625" style="85" bestFit="1" customWidth="1"/>
    <col min="86" max="86" width="8.28515625" style="85" bestFit="1" customWidth="1"/>
    <col min="87" max="87" width="9.28515625" style="85" bestFit="1" customWidth="1"/>
    <col min="88" max="88" width="2" customWidth="1"/>
    <col min="89" max="89" width="6.28515625" bestFit="1" customWidth="1"/>
    <col min="90" max="90" width="12.5703125" bestFit="1" customWidth="1"/>
    <col min="91" max="91" width="5.28515625" bestFit="1" customWidth="1"/>
    <col min="92" max="92" width="8.28515625" bestFit="1" customWidth="1"/>
    <col min="93" max="93" width="9.28515625" bestFit="1" customWidth="1"/>
    <col min="94" max="94" width="2" customWidth="1"/>
  </cols>
  <sheetData>
    <row r="1" spans="1:94" ht="23.25" x14ac:dyDescent="0.25">
      <c r="A1" s="752" t="s">
        <v>35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94" ht="23.25" x14ac:dyDescent="0.25">
      <c r="A2" s="752" t="s">
        <v>493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</row>
    <row r="3" spans="1:94" ht="12" customHeight="1" x14ac:dyDescent="0.25">
      <c r="A3" s="158"/>
      <c r="B3" s="158"/>
      <c r="C3" s="158"/>
      <c r="D3" s="158"/>
      <c r="E3" s="158"/>
      <c r="F3" s="158"/>
      <c r="G3" s="158"/>
      <c r="H3" s="61"/>
      <c r="AH3" s="301"/>
      <c r="AI3" s="301"/>
      <c r="AJ3" s="301"/>
      <c r="AK3" s="301"/>
      <c r="AL3" s="301"/>
      <c r="AM3" s="301"/>
      <c r="AN3" s="301"/>
      <c r="AO3" s="300"/>
      <c r="AP3" s="348"/>
      <c r="AQ3" s="348"/>
      <c r="AR3" s="348"/>
      <c r="AS3" s="348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1"/>
      <c r="CK3" s="301"/>
      <c r="CL3" s="301"/>
      <c r="CM3" s="301"/>
      <c r="CN3" s="301"/>
      <c r="CO3" s="301"/>
      <c r="CP3" s="301"/>
    </row>
    <row r="4" spans="1:94" ht="20.25" thickBot="1" x14ac:dyDescent="0.3">
      <c r="H4" s="61"/>
      <c r="N4" s="2"/>
      <c r="P4" s="759" t="s">
        <v>2</v>
      </c>
      <c r="Q4" s="759"/>
      <c r="R4" s="759"/>
      <c r="S4" s="759"/>
      <c r="T4" s="759"/>
      <c r="V4" s="759" t="s">
        <v>184</v>
      </c>
      <c r="W4" s="759"/>
      <c r="X4" s="759"/>
      <c r="Y4" s="759"/>
      <c r="Z4" s="759"/>
      <c r="AA4" s="47"/>
      <c r="AB4" s="759" t="s">
        <v>248</v>
      </c>
      <c r="AC4" s="759"/>
      <c r="AD4" s="759"/>
      <c r="AE4" s="759"/>
      <c r="AF4" s="759"/>
      <c r="AG4" s="759"/>
      <c r="AH4" s="300"/>
      <c r="AI4" s="759" t="s">
        <v>162</v>
      </c>
      <c r="AJ4" s="759"/>
      <c r="AK4" s="759"/>
      <c r="AL4" s="759"/>
      <c r="AM4" s="759"/>
      <c r="AO4" s="759" t="s">
        <v>163</v>
      </c>
      <c r="AP4" s="759"/>
      <c r="AQ4" s="759"/>
      <c r="AR4" s="759"/>
      <c r="AS4" s="759"/>
      <c r="AT4" s="300"/>
      <c r="AU4" s="759" t="s">
        <v>164</v>
      </c>
      <c r="AV4" s="759"/>
      <c r="AW4" s="759"/>
      <c r="AX4" s="759"/>
      <c r="AY4" s="759"/>
      <c r="AZ4" s="300"/>
      <c r="BA4" s="766" t="s">
        <v>165</v>
      </c>
      <c r="BB4" s="766"/>
      <c r="BC4" s="766"/>
      <c r="BD4" s="766"/>
      <c r="BE4" s="766"/>
      <c r="BG4" s="759" t="s">
        <v>171</v>
      </c>
      <c r="BH4" s="759"/>
      <c r="BI4" s="759"/>
      <c r="BJ4" s="759"/>
      <c r="BK4" s="759"/>
      <c r="BL4" s="300"/>
      <c r="BM4" s="759" t="s">
        <v>173</v>
      </c>
      <c r="BN4" s="759"/>
      <c r="BO4" s="759"/>
      <c r="BP4" s="759"/>
      <c r="BQ4" s="759"/>
      <c r="BS4" s="766" t="s">
        <v>175</v>
      </c>
      <c r="BT4" s="766"/>
      <c r="BU4" s="766"/>
      <c r="BV4" s="766"/>
      <c r="BW4" s="766"/>
      <c r="BY4" s="766" t="s">
        <v>177</v>
      </c>
      <c r="BZ4" s="766"/>
      <c r="CA4" s="766"/>
      <c r="CB4" s="766"/>
      <c r="CC4" s="766"/>
      <c r="CD4" s="300"/>
      <c r="CE4" s="759" t="s">
        <v>178</v>
      </c>
      <c r="CF4" s="759"/>
      <c r="CG4" s="759"/>
      <c r="CH4" s="759"/>
      <c r="CI4" s="759"/>
      <c r="CJ4" s="301"/>
      <c r="CK4" s="759" t="s">
        <v>181</v>
      </c>
      <c r="CL4" s="759"/>
      <c r="CM4" s="759"/>
      <c r="CN4" s="759"/>
      <c r="CO4" s="759"/>
      <c r="CP4" s="301"/>
    </row>
    <row r="5" spans="1:94" s="12" customFormat="1" ht="16.5" thickTop="1" thickBot="1" x14ac:dyDescent="0.3">
      <c r="A5" s="32" t="s">
        <v>36</v>
      </c>
      <c r="B5" s="32" t="s">
        <v>37</v>
      </c>
      <c r="C5" s="32" t="s">
        <v>38</v>
      </c>
      <c r="D5" s="32" t="s">
        <v>39</v>
      </c>
      <c r="E5" s="32" t="s">
        <v>40</v>
      </c>
      <c r="F5" s="32" t="s">
        <v>41</v>
      </c>
      <c r="G5" s="32" t="s">
        <v>42</v>
      </c>
      <c r="H5" s="214">
        <v>43101</v>
      </c>
      <c r="I5" s="214">
        <v>43191</v>
      </c>
      <c r="J5" s="214">
        <v>43282</v>
      </c>
      <c r="K5" s="214">
        <v>43374</v>
      </c>
      <c r="L5" s="32" t="s">
        <v>43</v>
      </c>
      <c r="N5" s="322" t="s">
        <v>694</v>
      </c>
      <c r="O5" s="215"/>
      <c r="P5" s="221" t="s">
        <v>4</v>
      </c>
      <c r="Q5" s="216" t="s">
        <v>728</v>
      </c>
      <c r="R5" s="221" t="s">
        <v>32</v>
      </c>
      <c r="S5" s="224" t="s">
        <v>6</v>
      </c>
      <c r="T5" s="217" t="s">
        <v>701</v>
      </c>
      <c r="V5" s="221" t="s">
        <v>4</v>
      </c>
      <c r="W5" s="216" t="s">
        <v>728</v>
      </c>
      <c r="X5" s="221" t="s">
        <v>32</v>
      </c>
      <c r="Y5" s="224" t="s">
        <v>6</v>
      </c>
      <c r="Z5" s="217" t="s">
        <v>701</v>
      </c>
      <c r="AA5" s="213" t="s">
        <v>185</v>
      </c>
      <c r="AB5" s="219"/>
      <c r="AC5" s="221" t="s">
        <v>4</v>
      </c>
      <c r="AD5" s="216" t="s">
        <v>730</v>
      </c>
      <c r="AE5" s="221" t="s">
        <v>32</v>
      </c>
      <c r="AF5" s="224" t="s">
        <v>6</v>
      </c>
      <c r="AG5" s="217" t="s">
        <v>701</v>
      </c>
      <c r="AH5" s="308"/>
      <c r="AI5" s="216" t="s">
        <v>4</v>
      </c>
      <c r="AJ5" s="216" t="s">
        <v>3</v>
      </c>
      <c r="AK5" s="216" t="s">
        <v>32</v>
      </c>
      <c r="AL5" s="217" t="s">
        <v>6</v>
      </c>
      <c r="AM5" s="217" t="s">
        <v>5</v>
      </c>
      <c r="AN5" s="215"/>
      <c r="AO5" s="221" t="s">
        <v>4</v>
      </c>
      <c r="AP5" s="216" t="s">
        <v>728</v>
      </c>
      <c r="AQ5" s="221" t="s">
        <v>32</v>
      </c>
      <c r="AR5" s="224" t="s">
        <v>6</v>
      </c>
      <c r="AS5" s="217" t="s">
        <v>701</v>
      </c>
      <c r="AT5" s="338"/>
      <c r="AU5" s="221" t="s">
        <v>4</v>
      </c>
      <c r="AV5" s="216" t="s">
        <v>728</v>
      </c>
      <c r="AW5" s="221" t="s">
        <v>32</v>
      </c>
      <c r="AX5" s="224" t="s">
        <v>6</v>
      </c>
      <c r="AY5" s="217" t="s">
        <v>701</v>
      </c>
      <c r="AZ5" s="338"/>
      <c r="BA5" s="166" t="s">
        <v>4</v>
      </c>
      <c r="BB5" s="166" t="s">
        <v>3</v>
      </c>
      <c r="BC5" s="166" t="s">
        <v>32</v>
      </c>
      <c r="BD5" s="167" t="s">
        <v>6</v>
      </c>
      <c r="BE5" s="167" t="s">
        <v>5</v>
      </c>
      <c r="BF5" s="118"/>
      <c r="BG5" s="221" t="s">
        <v>4</v>
      </c>
      <c r="BH5" s="216" t="s">
        <v>728</v>
      </c>
      <c r="BI5" s="221" t="s">
        <v>32</v>
      </c>
      <c r="BJ5" s="224" t="s">
        <v>6</v>
      </c>
      <c r="BK5" s="217" t="s">
        <v>701</v>
      </c>
      <c r="BL5" s="331"/>
      <c r="BM5" s="221" t="s">
        <v>4</v>
      </c>
      <c r="BN5" s="216" t="s">
        <v>728</v>
      </c>
      <c r="BO5" s="221" t="s">
        <v>32</v>
      </c>
      <c r="BP5" s="224" t="s">
        <v>6</v>
      </c>
      <c r="BQ5" s="217" t="s">
        <v>701</v>
      </c>
      <c r="BR5" s="118"/>
      <c r="BS5" s="166" t="s">
        <v>4</v>
      </c>
      <c r="BT5" s="166" t="s">
        <v>3</v>
      </c>
      <c r="BU5" s="166" t="s">
        <v>32</v>
      </c>
      <c r="BV5" s="167" t="s">
        <v>6</v>
      </c>
      <c r="BW5" s="167" t="s">
        <v>5</v>
      </c>
      <c r="BX5" s="118"/>
      <c r="BY5" s="166" t="s">
        <v>4</v>
      </c>
      <c r="BZ5" s="166" t="s">
        <v>3</v>
      </c>
      <c r="CA5" s="166" t="s">
        <v>32</v>
      </c>
      <c r="CB5" s="167" t="s">
        <v>6</v>
      </c>
      <c r="CC5" s="167" t="s">
        <v>5</v>
      </c>
      <c r="CD5" s="331"/>
      <c r="CE5" s="221" t="s">
        <v>4</v>
      </c>
      <c r="CF5" s="216" t="s">
        <v>728</v>
      </c>
      <c r="CG5" s="221" t="s">
        <v>32</v>
      </c>
      <c r="CH5" s="224" t="s">
        <v>6</v>
      </c>
      <c r="CI5" s="217" t="s">
        <v>701</v>
      </c>
      <c r="CJ5" s="302"/>
      <c r="CK5" s="221" t="s">
        <v>4</v>
      </c>
      <c r="CL5" s="216" t="s">
        <v>728</v>
      </c>
      <c r="CM5" s="221" t="s">
        <v>32</v>
      </c>
      <c r="CN5" s="224" t="s">
        <v>6</v>
      </c>
      <c r="CO5" s="217" t="s">
        <v>701</v>
      </c>
      <c r="CP5" s="302"/>
    </row>
    <row r="6" spans="1:94" ht="15.75" thickBot="1" x14ac:dyDescent="0.3">
      <c r="A6" s="761" t="s">
        <v>44</v>
      </c>
      <c r="B6" s="761"/>
      <c r="C6" s="761"/>
      <c r="D6" s="761"/>
      <c r="E6" s="761"/>
      <c r="F6" s="761"/>
      <c r="G6" s="761"/>
      <c r="H6" s="15"/>
      <c r="I6" s="15"/>
      <c r="J6" s="1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13"/>
      <c r="AI6" s="9"/>
      <c r="AJ6" s="9"/>
      <c r="AK6" s="9"/>
      <c r="AL6" s="9"/>
      <c r="AM6" s="9"/>
      <c r="AN6" s="9"/>
      <c r="AO6" s="9"/>
      <c r="AP6" s="75"/>
      <c r="AQ6" s="75"/>
      <c r="AR6" s="75"/>
      <c r="AS6" s="75"/>
      <c r="AT6" s="313"/>
      <c r="AU6" s="9"/>
      <c r="AV6" s="9"/>
      <c r="AW6" s="9"/>
      <c r="AX6" s="9"/>
      <c r="AY6" s="9"/>
      <c r="AZ6" s="313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313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313"/>
      <c r="CE6" s="9"/>
      <c r="CF6" s="9"/>
      <c r="CG6" s="9"/>
      <c r="CH6" s="9"/>
      <c r="CI6" s="9"/>
      <c r="CJ6" s="313"/>
      <c r="CK6" s="9"/>
      <c r="CL6" s="9"/>
      <c r="CM6" s="9"/>
      <c r="CN6" s="9"/>
      <c r="CO6" s="9"/>
      <c r="CP6" s="301"/>
    </row>
    <row r="7" spans="1:94" x14ac:dyDescent="0.25">
      <c r="A7" s="3" t="s">
        <v>247</v>
      </c>
      <c r="B7" s="3" t="s">
        <v>46</v>
      </c>
      <c r="C7" s="3" t="s">
        <v>47</v>
      </c>
      <c r="D7" s="3" t="s">
        <v>48</v>
      </c>
      <c r="E7" s="3" t="s">
        <v>48</v>
      </c>
      <c r="F7" t="s">
        <v>496</v>
      </c>
      <c r="G7" t="s">
        <v>49</v>
      </c>
      <c r="H7" s="67">
        <f t="shared" ref="H7:K16" si="0">$L7/4</f>
        <v>1673.25</v>
      </c>
      <c r="I7" s="67">
        <f t="shared" si="0"/>
        <v>1673.25</v>
      </c>
      <c r="J7" s="67">
        <f t="shared" si="0"/>
        <v>1673.25</v>
      </c>
      <c r="K7" s="67">
        <f>$L7/4</f>
        <v>1673.25</v>
      </c>
      <c r="L7" s="705">
        <v>6693</v>
      </c>
      <c r="N7" s="206" t="s">
        <v>541</v>
      </c>
      <c r="P7" s="229"/>
      <c r="Q7" s="228">
        <f>INDEX('Apportionment Bases'!AU$6:AU$33,MATCH('PC24'!$N7,'Apportionment Bases'!$A$6:$A$33,0))</f>
        <v>0</v>
      </c>
      <c r="R7" s="229"/>
      <c r="S7" s="229"/>
      <c r="T7" s="228">
        <f>INDEX('Apportionment Bases'!AX$6:AX$33,MATCH('PC24'!$N7,'Apportionment Bases'!$A$6:$A$33,0))</f>
        <v>1</v>
      </c>
      <c r="V7" s="66"/>
      <c r="W7" s="72">
        <f>Q7*$L7</f>
        <v>0</v>
      </c>
      <c r="X7" s="66"/>
      <c r="Y7" s="66"/>
      <c r="Z7" s="72">
        <f>T7*$L7</f>
        <v>6693</v>
      </c>
      <c r="AA7" s="266" t="str">
        <f>IF(SUM(V7:Z7)=L7,"TRUE","FALSE")</f>
        <v>TRUE</v>
      </c>
      <c r="AB7" s="59" t="s">
        <v>163</v>
      </c>
      <c r="AC7" s="66"/>
      <c r="AD7" s="693">
        <f>'Apportionment Assumptions'!AM8</f>
        <v>0.27407195343067087</v>
      </c>
      <c r="AE7" s="740"/>
      <c r="AF7" s="740"/>
      <c r="AG7" s="693">
        <f>'Apportionment Assumptions'!AP8</f>
        <v>0.43848282685512374</v>
      </c>
      <c r="AH7" s="301"/>
      <c r="AO7" s="81"/>
      <c r="AP7" s="72">
        <f>$AD$7*W7</f>
        <v>0</v>
      </c>
      <c r="AQ7" s="117"/>
      <c r="AR7" s="117"/>
      <c r="AS7" s="72">
        <f>$AG$7*Z7</f>
        <v>2934.765560141343</v>
      </c>
      <c r="AT7" s="300"/>
      <c r="AU7" s="81"/>
      <c r="AV7" s="72">
        <f>$AD$8*W7</f>
        <v>0</v>
      </c>
      <c r="AW7" s="81"/>
      <c r="AX7" s="81"/>
      <c r="AY7" s="72">
        <f>$AG$8*Z7</f>
        <v>823.90830000000005</v>
      </c>
      <c r="AZ7" s="300"/>
      <c r="BG7" s="81"/>
      <c r="BH7" s="72">
        <f>$AD$9*W7</f>
        <v>0</v>
      </c>
      <c r="BI7" s="81"/>
      <c r="BJ7" s="81"/>
      <c r="BK7" s="72">
        <f>$AG$9*Z7</f>
        <v>1091.09286</v>
      </c>
      <c r="BL7" s="300"/>
      <c r="BM7" s="81"/>
      <c r="BN7" s="72">
        <f>$AD$10*W7</f>
        <v>0</v>
      </c>
      <c r="BO7" s="81"/>
      <c r="BP7" s="81"/>
      <c r="BQ7" s="72">
        <f>$AG$10*Z7</f>
        <v>1054.7978798586571</v>
      </c>
      <c r="CD7" s="300"/>
      <c r="CE7" s="81"/>
      <c r="CF7" s="72">
        <f>$AD$11*W7</f>
        <v>0</v>
      </c>
      <c r="CG7" s="81"/>
      <c r="CH7" s="81"/>
      <c r="CI7" s="72">
        <f>$AG$11*Z7</f>
        <v>52.205399999999997</v>
      </c>
      <c r="CJ7" s="301"/>
      <c r="CK7" s="66"/>
      <c r="CL7" s="72">
        <f>$AD$12*W7</f>
        <v>0</v>
      </c>
      <c r="CM7" s="66"/>
      <c r="CN7" s="66"/>
      <c r="CO7" s="72">
        <f>$AG$12*Z7</f>
        <v>736.23</v>
      </c>
      <c r="CP7" s="301"/>
    </row>
    <row r="8" spans="1:94" x14ac:dyDescent="0.25">
      <c r="A8" s="3" t="s">
        <v>247</v>
      </c>
      <c r="B8" s="3">
        <v>5000</v>
      </c>
      <c r="C8" s="3" t="s">
        <v>45</v>
      </c>
      <c r="D8" s="3" t="s">
        <v>48</v>
      </c>
      <c r="E8" s="3" t="s">
        <v>48</v>
      </c>
      <c r="F8" t="s">
        <v>497</v>
      </c>
      <c r="G8" t="s">
        <v>49</v>
      </c>
      <c r="H8" s="67">
        <f t="shared" si="0"/>
        <v>21406.25</v>
      </c>
      <c r="I8" s="67">
        <f t="shared" si="0"/>
        <v>21406.25</v>
      </c>
      <c r="J8" s="67">
        <f t="shared" si="0"/>
        <v>21406.25</v>
      </c>
      <c r="K8" s="67">
        <f t="shared" si="0"/>
        <v>21406.25</v>
      </c>
      <c r="L8" s="705">
        <v>85625</v>
      </c>
      <c r="N8" s="206" t="s">
        <v>541</v>
      </c>
      <c r="P8" s="229"/>
      <c r="Q8" s="228">
        <f>INDEX('Apportionment Bases'!AU$6:AU$33,MATCH('PC24'!$N8,'Apportionment Bases'!$A$6:$A$33,0))</f>
        <v>0</v>
      </c>
      <c r="R8" s="229"/>
      <c r="S8" s="229"/>
      <c r="T8" s="228">
        <f>INDEX('Apportionment Bases'!AX$6:AX$33,MATCH('PC24'!$N8,'Apportionment Bases'!$A$6:$A$33,0))</f>
        <v>1</v>
      </c>
      <c r="V8" s="66"/>
      <c r="W8" s="72">
        <f t="shared" ref="W8:W15" si="1">Q8*$L8</f>
        <v>0</v>
      </c>
      <c r="X8" s="66"/>
      <c r="Y8" s="66"/>
      <c r="Z8" s="72">
        <f t="shared" ref="Z8:Z16" si="2">T8*$L8</f>
        <v>85625</v>
      </c>
      <c r="AA8" s="266" t="str">
        <f t="shared" ref="AA8:AA16" si="3">IF(SUM(V8:Z8)=L8,"TRUE","FALSE")</f>
        <v>TRUE</v>
      </c>
      <c r="AB8" s="59" t="s">
        <v>164</v>
      </c>
      <c r="AC8" s="66"/>
      <c r="AD8" s="693">
        <f>'Apportionment Assumptions'!AM9</f>
        <v>6.4796259185036745E-2</v>
      </c>
      <c r="AE8" s="740"/>
      <c r="AF8" s="740"/>
      <c r="AG8" s="693">
        <f>'Apportionment Assumptions'!AP9</f>
        <v>0.1231</v>
      </c>
      <c r="AH8" s="301"/>
      <c r="AO8" s="81"/>
      <c r="AP8" s="72">
        <f t="shared" ref="AP8:AP16" si="4">$AD$7*W8</f>
        <v>0</v>
      </c>
      <c r="AQ8" s="117"/>
      <c r="AR8" s="117"/>
      <c r="AS8" s="72">
        <f t="shared" ref="AS8:AS16" si="5">$AG$7*Z8</f>
        <v>37545.092049469968</v>
      </c>
      <c r="AT8" s="300"/>
      <c r="AU8" s="81"/>
      <c r="AV8" s="72">
        <f t="shared" ref="AV8:AV16" si="6">$AD$8*W8</f>
        <v>0</v>
      </c>
      <c r="AW8" s="81"/>
      <c r="AX8" s="81"/>
      <c r="AY8" s="72">
        <f t="shared" ref="AY8:AY16" si="7">$AG$8*Z8</f>
        <v>10540.4375</v>
      </c>
      <c r="AZ8" s="300"/>
      <c r="BG8" s="81"/>
      <c r="BH8" s="72">
        <f t="shared" ref="BH8:BH16" si="8">$AD$9*W8</f>
        <v>0</v>
      </c>
      <c r="BI8" s="81"/>
      <c r="BJ8" s="81"/>
      <c r="BK8" s="72">
        <f t="shared" ref="BK8:BK16" si="9">$AG$9*Z8</f>
        <v>13958.5875</v>
      </c>
      <c r="BL8" s="300"/>
      <c r="BM8" s="81"/>
      <c r="BN8" s="72">
        <f t="shared" ref="BN8:BN16" si="10">$AD$10*W8</f>
        <v>0</v>
      </c>
      <c r="BO8" s="81"/>
      <c r="BP8" s="81"/>
      <c r="BQ8" s="72">
        <f t="shared" ref="BQ8:BQ16" si="11">$AG$10*Z8</f>
        <v>13494.257950530035</v>
      </c>
      <c r="CD8" s="300"/>
      <c r="CE8" s="81"/>
      <c r="CF8" s="72">
        <f t="shared" ref="CF8:CF16" si="12">$AD$11*W8</f>
        <v>0</v>
      </c>
      <c r="CG8" s="81"/>
      <c r="CH8" s="81"/>
      <c r="CI8" s="72">
        <f t="shared" ref="CI8:CI16" si="13">$AG$11*Z8</f>
        <v>667.875</v>
      </c>
      <c r="CJ8" s="301"/>
      <c r="CK8" s="66"/>
      <c r="CL8" s="72">
        <f t="shared" ref="CL8:CL16" si="14">$AD$12*W8</f>
        <v>0</v>
      </c>
      <c r="CM8" s="66"/>
      <c r="CN8" s="66"/>
      <c r="CO8" s="72">
        <f t="shared" ref="CO8:CO16" si="15">$AG$12*Z8</f>
        <v>9418.75</v>
      </c>
      <c r="CP8" s="301"/>
    </row>
    <row r="9" spans="1:94" x14ac:dyDescent="0.25">
      <c r="A9" s="3" t="s">
        <v>247</v>
      </c>
      <c r="B9" s="3" t="s">
        <v>50</v>
      </c>
      <c r="C9" s="3" t="s">
        <v>47</v>
      </c>
      <c r="D9" s="3" t="s">
        <v>48</v>
      </c>
      <c r="E9" s="3" t="s">
        <v>48</v>
      </c>
      <c r="F9" t="s">
        <v>498</v>
      </c>
      <c r="G9" t="s">
        <v>51</v>
      </c>
      <c r="H9" s="67">
        <f t="shared" si="0"/>
        <v>86.5</v>
      </c>
      <c r="I9" s="67">
        <f t="shared" si="0"/>
        <v>86.5</v>
      </c>
      <c r="J9" s="67">
        <f t="shared" si="0"/>
        <v>86.5</v>
      </c>
      <c r="K9" s="67">
        <f t="shared" si="0"/>
        <v>86.5</v>
      </c>
      <c r="L9" s="705">
        <v>346</v>
      </c>
      <c r="N9" s="206" t="s">
        <v>541</v>
      </c>
      <c r="P9" s="229"/>
      <c r="Q9" s="228">
        <f>INDEX('Apportionment Bases'!AU$6:AU$33,MATCH('PC24'!$N9,'Apportionment Bases'!$A$6:$A$33,0))</f>
        <v>0</v>
      </c>
      <c r="R9" s="229"/>
      <c r="S9" s="229"/>
      <c r="T9" s="228">
        <f>INDEX('Apportionment Bases'!AX$6:AX$33,MATCH('PC24'!$N9,'Apportionment Bases'!$A$6:$A$33,0))</f>
        <v>1</v>
      </c>
      <c r="V9" s="66"/>
      <c r="W9" s="72">
        <f t="shared" si="1"/>
        <v>0</v>
      </c>
      <c r="X9" s="66"/>
      <c r="Y9" s="66"/>
      <c r="Z9" s="72">
        <f t="shared" si="2"/>
        <v>346</v>
      </c>
      <c r="AA9" s="266" t="str">
        <f t="shared" si="3"/>
        <v>TRUE</v>
      </c>
      <c r="AB9" s="59" t="s">
        <v>171</v>
      </c>
      <c r="AC9" s="66"/>
      <c r="AD9" s="693">
        <f>'Apportionment Assumptions'!AM11</f>
        <v>0.24782899131596528</v>
      </c>
      <c r="AE9" s="740"/>
      <c r="AF9" s="740"/>
      <c r="AG9" s="693">
        <f>'Apportionment Assumptions'!AP11</f>
        <v>0.16302</v>
      </c>
      <c r="AH9" s="301"/>
      <c r="AO9" s="81"/>
      <c r="AP9" s="72">
        <f t="shared" si="4"/>
        <v>0</v>
      </c>
      <c r="AQ9" s="117"/>
      <c r="AR9" s="117"/>
      <c r="AS9" s="72">
        <f t="shared" si="5"/>
        <v>151.71505809187281</v>
      </c>
      <c r="AT9" s="300"/>
      <c r="AU9" s="81"/>
      <c r="AV9" s="72">
        <f t="shared" si="6"/>
        <v>0</v>
      </c>
      <c r="AW9" s="81"/>
      <c r="AX9" s="81"/>
      <c r="AY9" s="72">
        <f t="shared" si="7"/>
        <v>42.592599999999997</v>
      </c>
      <c r="AZ9" s="300"/>
      <c r="BG9" s="81"/>
      <c r="BH9" s="72">
        <f t="shared" si="8"/>
        <v>0</v>
      </c>
      <c r="BI9" s="81"/>
      <c r="BJ9" s="81"/>
      <c r="BK9" s="72">
        <f t="shared" si="9"/>
        <v>56.404919999999997</v>
      </c>
      <c r="BL9" s="300"/>
      <c r="BM9" s="81"/>
      <c r="BN9" s="72">
        <f t="shared" si="10"/>
        <v>0</v>
      </c>
      <c r="BO9" s="81"/>
      <c r="BP9" s="81"/>
      <c r="BQ9" s="72">
        <f t="shared" si="11"/>
        <v>54.528621908127207</v>
      </c>
      <c r="CD9" s="300"/>
      <c r="CE9" s="81"/>
      <c r="CF9" s="72">
        <f t="shared" si="12"/>
        <v>0</v>
      </c>
      <c r="CG9" s="81"/>
      <c r="CH9" s="81"/>
      <c r="CI9" s="72">
        <f t="shared" si="13"/>
        <v>2.6987999999999999</v>
      </c>
      <c r="CJ9" s="301"/>
      <c r="CK9" s="66"/>
      <c r="CL9" s="72">
        <f t="shared" si="14"/>
        <v>0</v>
      </c>
      <c r="CM9" s="66"/>
      <c r="CN9" s="66"/>
      <c r="CO9" s="72">
        <f t="shared" si="15"/>
        <v>38.06</v>
      </c>
      <c r="CP9" s="301"/>
    </row>
    <row r="10" spans="1:94" x14ac:dyDescent="0.25">
      <c r="A10" s="3" t="s">
        <v>247</v>
      </c>
      <c r="B10" s="3" t="s">
        <v>50</v>
      </c>
      <c r="C10" s="3" t="s">
        <v>45</v>
      </c>
      <c r="D10" s="3" t="s">
        <v>48</v>
      </c>
      <c r="E10" s="3" t="s">
        <v>48</v>
      </c>
      <c r="F10" t="s">
        <v>499</v>
      </c>
      <c r="G10" t="s">
        <v>51</v>
      </c>
      <c r="H10" s="67">
        <f t="shared" si="0"/>
        <v>50</v>
      </c>
      <c r="I10" s="67">
        <f t="shared" si="0"/>
        <v>50</v>
      </c>
      <c r="J10" s="67">
        <f t="shared" si="0"/>
        <v>50</v>
      </c>
      <c r="K10" s="67">
        <f t="shared" si="0"/>
        <v>50</v>
      </c>
      <c r="L10" s="705">
        <v>200</v>
      </c>
      <c r="N10" s="206" t="s">
        <v>541</v>
      </c>
      <c r="P10" s="229"/>
      <c r="Q10" s="228">
        <f>INDEX('Apportionment Bases'!AU$6:AU$33,MATCH('PC24'!$N10,'Apportionment Bases'!$A$6:$A$33,0))</f>
        <v>0</v>
      </c>
      <c r="R10" s="229"/>
      <c r="S10" s="229"/>
      <c r="T10" s="228">
        <f>INDEX('Apportionment Bases'!AX$6:AX$33,MATCH('PC24'!$N10,'Apportionment Bases'!$A$6:$A$33,0))</f>
        <v>1</v>
      </c>
      <c r="V10" s="66"/>
      <c r="W10" s="72">
        <f t="shared" si="1"/>
        <v>0</v>
      </c>
      <c r="X10" s="66"/>
      <c r="Y10" s="66"/>
      <c r="Z10" s="72">
        <f t="shared" si="2"/>
        <v>200</v>
      </c>
      <c r="AA10" s="266" t="str">
        <f t="shared" si="3"/>
        <v>TRUE</v>
      </c>
      <c r="AB10" s="59" t="s">
        <v>173</v>
      </c>
      <c r="AC10" s="66"/>
      <c r="AD10" s="693">
        <f>'Apportionment Assumptions'!AM12</f>
        <v>0.24372554633075674</v>
      </c>
      <c r="AE10" s="740"/>
      <c r="AF10" s="740"/>
      <c r="AG10" s="693">
        <f>'Apportionment Assumptions'!AP12</f>
        <v>0.15759717314487631</v>
      </c>
      <c r="AH10" s="301"/>
      <c r="AO10" s="81"/>
      <c r="AP10" s="72">
        <f t="shared" si="4"/>
        <v>0</v>
      </c>
      <c r="AQ10" s="117"/>
      <c r="AR10" s="117"/>
      <c r="AS10" s="72">
        <f t="shared" si="5"/>
        <v>87.696565371024747</v>
      </c>
      <c r="AT10" s="300"/>
      <c r="AU10" s="81"/>
      <c r="AV10" s="72">
        <f t="shared" si="6"/>
        <v>0</v>
      </c>
      <c r="AW10" s="81"/>
      <c r="AX10" s="81"/>
      <c r="AY10" s="72">
        <f t="shared" si="7"/>
        <v>24.62</v>
      </c>
      <c r="AZ10" s="300"/>
      <c r="BG10" s="81"/>
      <c r="BH10" s="72">
        <f t="shared" si="8"/>
        <v>0</v>
      </c>
      <c r="BI10" s="81"/>
      <c r="BJ10" s="81"/>
      <c r="BK10" s="72">
        <f t="shared" si="9"/>
        <v>32.603999999999999</v>
      </c>
      <c r="BL10" s="300"/>
      <c r="BM10" s="81"/>
      <c r="BN10" s="72">
        <f t="shared" si="10"/>
        <v>0</v>
      </c>
      <c r="BO10" s="81"/>
      <c r="BP10" s="81"/>
      <c r="BQ10" s="72">
        <f t="shared" si="11"/>
        <v>31.519434628975262</v>
      </c>
      <c r="CD10" s="300"/>
      <c r="CE10" s="81"/>
      <c r="CF10" s="72">
        <f t="shared" si="12"/>
        <v>0</v>
      </c>
      <c r="CG10" s="81"/>
      <c r="CH10" s="81"/>
      <c r="CI10" s="72">
        <f t="shared" si="13"/>
        <v>1.5599999999999998</v>
      </c>
      <c r="CJ10" s="301"/>
      <c r="CK10" s="66"/>
      <c r="CL10" s="72">
        <f t="shared" si="14"/>
        <v>0</v>
      </c>
      <c r="CM10" s="66"/>
      <c r="CN10" s="66"/>
      <c r="CO10" s="72">
        <f t="shared" si="15"/>
        <v>22</v>
      </c>
      <c r="CP10" s="301"/>
    </row>
    <row r="11" spans="1:94" x14ac:dyDescent="0.25">
      <c r="A11" s="3" t="s">
        <v>247</v>
      </c>
      <c r="B11" s="3" t="s">
        <v>54</v>
      </c>
      <c r="C11" s="3" t="s">
        <v>47</v>
      </c>
      <c r="D11" s="3" t="s">
        <v>48</v>
      </c>
      <c r="E11" s="3" t="s">
        <v>48</v>
      </c>
      <c r="F11" t="s">
        <v>521</v>
      </c>
      <c r="G11" t="s">
        <v>55</v>
      </c>
      <c r="H11" s="67">
        <f t="shared" si="0"/>
        <v>25</v>
      </c>
      <c r="I11" s="67">
        <f t="shared" si="0"/>
        <v>25</v>
      </c>
      <c r="J11" s="67">
        <f t="shared" si="0"/>
        <v>25</v>
      </c>
      <c r="K11" s="67">
        <f t="shared" si="0"/>
        <v>25</v>
      </c>
      <c r="L11" s="705">
        <v>100</v>
      </c>
      <c r="N11" s="206" t="s">
        <v>541</v>
      </c>
      <c r="P11" s="229"/>
      <c r="Q11" s="228">
        <f>INDEX('Apportionment Bases'!AU$6:AU$33,MATCH('PC24'!$N11,'Apportionment Bases'!$A$6:$A$33,0))</f>
        <v>0</v>
      </c>
      <c r="R11" s="229"/>
      <c r="S11" s="229"/>
      <c r="T11" s="228">
        <f>INDEX('Apportionment Bases'!AX$6:AX$33,MATCH('PC24'!$N11,'Apportionment Bases'!$A$6:$A$33,0))</f>
        <v>1</v>
      </c>
      <c r="V11" s="66"/>
      <c r="W11" s="72">
        <f t="shared" si="1"/>
        <v>0</v>
      </c>
      <c r="X11" s="66"/>
      <c r="Y11" s="66"/>
      <c r="Z11" s="72">
        <f t="shared" si="2"/>
        <v>100</v>
      </c>
      <c r="AA11" s="266" t="str">
        <f t="shared" si="3"/>
        <v>TRUE</v>
      </c>
      <c r="AB11" s="59" t="s">
        <v>178</v>
      </c>
      <c r="AC11" s="66"/>
      <c r="AD11" s="693">
        <f>'Apportionment Assumptions'!AM15</f>
        <v>4.7714476572192008E-3</v>
      </c>
      <c r="AE11" s="740"/>
      <c r="AF11" s="740"/>
      <c r="AG11" s="693">
        <f>'Apportionment Assumptions'!AP15</f>
        <v>7.7999999999999996E-3</v>
      </c>
      <c r="AH11" s="301"/>
      <c r="AO11" s="81"/>
      <c r="AP11" s="72">
        <f t="shared" si="4"/>
        <v>0</v>
      </c>
      <c r="AQ11" s="117"/>
      <c r="AR11" s="117"/>
      <c r="AS11" s="72">
        <f t="shared" si="5"/>
        <v>43.848282685512373</v>
      </c>
      <c r="AT11" s="300"/>
      <c r="AU11" s="81"/>
      <c r="AV11" s="72">
        <f t="shared" si="6"/>
        <v>0</v>
      </c>
      <c r="AW11" s="81"/>
      <c r="AX11" s="81"/>
      <c r="AY11" s="72">
        <f t="shared" si="7"/>
        <v>12.31</v>
      </c>
      <c r="AZ11" s="300"/>
      <c r="BG11" s="81"/>
      <c r="BH11" s="72">
        <f t="shared" si="8"/>
        <v>0</v>
      </c>
      <c r="BI11" s="81"/>
      <c r="BJ11" s="81"/>
      <c r="BK11" s="72">
        <f t="shared" si="9"/>
        <v>16.302</v>
      </c>
      <c r="BL11" s="300"/>
      <c r="BM11" s="81"/>
      <c r="BN11" s="72">
        <f t="shared" si="10"/>
        <v>0</v>
      </c>
      <c r="BO11" s="81"/>
      <c r="BP11" s="81"/>
      <c r="BQ11" s="72">
        <f t="shared" si="11"/>
        <v>15.759717314487631</v>
      </c>
      <c r="CD11" s="300"/>
      <c r="CE11" s="81"/>
      <c r="CF11" s="72">
        <f t="shared" si="12"/>
        <v>0</v>
      </c>
      <c r="CG11" s="81"/>
      <c r="CH11" s="81"/>
      <c r="CI11" s="72">
        <f t="shared" si="13"/>
        <v>0.77999999999999992</v>
      </c>
      <c r="CJ11" s="301"/>
      <c r="CK11" s="66"/>
      <c r="CL11" s="72">
        <f t="shared" si="14"/>
        <v>0</v>
      </c>
      <c r="CM11" s="66"/>
      <c r="CN11" s="66"/>
      <c r="CO11" s="72">
        <f t="shared" si="15"/>
        <v>11</v>
      </c>
      <c r="CP11" s="301"/>
    </row>
    <row r="12" spans="1:94" x14ac:dyDescent="0.25">
      <c r="A12" s="3" t="s">
        <v>247</v>
      </c>
      <c r="B12" s="3" t="s">
        <v>54</v>
      </c>
      <c r="C12" s="3" t="s">
        <v>45</v>
      </c>
      <c r="D12" s="3" t="s">
        <v>48</v>
      </c>
      <c r="E12" s="3" t="s">
        <v>48</v>
      </c>
      <c r="F12" t="s">
        <v>522</v>
      </c>
      <c r="G12" t="s">
        <v>55</v>
      </c>
      <c r="H12" s="67">
        <f t="shared" si="0"/>
        <v>778</v>
      </c>
      <c r="I12" s="67">
        <f t="shared" si="0"/>
        <v>778</v>
      </c>
      <c r="J12" s="67">
        <f t="shared" si="0"/>
        <v>778</v>
      </c>
      <c r="K12" s="67">
        <f t="shared" si="0"/>
        <v>778</v>
      </c>
      <c r="L12" s="705">
        <v>3112</v>
      </c>
      <c r="N12" s="206" t="s">
        <v>541</v>
      </c>
      <c r="P12" s="229"/>
      <c r="Q12" s="228">
        <f>INDEX('Apportionment Bases'!AU$6:AU$33,MATCH('PC24'!$N12,'Apportionment Bases'!$A$6:$A$33,0))</f>
        <v>0</v>
      </c>
      <c r="R12" s="229"/>
      <c r="S12" s="229"/>
      <c r="T12" s="228">
        <f>INDEX('Apportionment Bases'!AX$6:AX$33,MATCH('PC24'!$N12,'Apportionment Bases'!$A$6:$A$33,0))</f>
        <v>1</v>
      </c>
      <c r="V12" s="66"/>
      <c r="W12" s="72">
        <f t="shared" si="1"/>
        <v>0</v>
      </c>
      <c r="X12" s="66"/>
      <c r="Y12" s="66"/>
      <c r="Z12" s="72">
        <f t="shared" si="2"/>
        <v>3112</v>
      </c>
      <c r="AA12" s="266" t="str">
        <f t="shared" si="3"/>
        <v>TRUE</v>
      </c>
      <c r="AB12" s="59" t="s">
        <v>181</v>
      </c>
      <c r="AC12" s="66"/>
      <c r="AD12" s="693">
        <f>'Apportionment Assumptions'!AM16</f>
        <v>0.1648058020803512</v>
      </c>
      <c r="AE12" s="740"/>
      <c r="AF12" s="740"/>
      <c r="AG12" s="693">
        <f>'Apportionment Assumptions'!AP16</f>
        <v>0.11</v>
      </c>
      <c r="AH12" s="301"/>
      <c r="AO12" s="81"/>
      <c r="AP12" s="72">
        <f t="shared" si="4"/>
        <v>0</v>
      </c>
      <c r="AQ12" s="117"/>
      <c r="AR12" s="117"/>
      <c r="AS12" s="72">
        <f t="shared" si="5"/>
        <v>1364.5585571731451</v>
      </c>
      <c r="AT12" s="300"/>
      <c r="AU12" s="81"/>
      <c r="AV12" s="72">
        <f t="shared" si="6"/>
        <v>0</v>
      </c>
      <c r="AW12" s="81"/>
      <c r="AX12" s="81"/>
      <c r="AY12" s="72">
        <f t="shared" si="7"/>
        <v>383.0872</v>
      </c>
      <c r="AZ12" s="300"/>
      <c r="BG12" s="81"/>
      <c r="BH12" s="72">
        <f t="shared" si="8"/>
        <v>0</v>
      </c>
      <c r="BI12" s="81"/>
      <c r="BJ12" s="81"/>
      <c r="BK12" s="72">
        <f t="shared" si="9"/>
        <v>507.31824</v>
      </c>
      <c r="BL12" s="300"/>
      <c r="BM12" s="81"/>
      <c r="BN12" s="72">
        <f t="shared" si="10"/>
        <v>0</v>
      </c>
      <c r="BO12" s="81"/>
      <c r="BP12" s="81"/>
      <c r="BQ12" s="72">
        <f t="shared" si="11"/>
        <v>490.44240282685507</v>
      </c>
      <c r="CD12" s="300"/>
      <c r="CE12" s="81"/>
      <c r="CF12" s="72">
        <f t="shared" si="12"/>
        <v>0</v>
      </c>
      <c r="CG12" s="81"/>
      <c r="CH12" s="81"/>
      <c r="CI12" s="72">
        <f t="shared" si="13"/>
        <v>24.273599999999998</v>
      </c>
      <c r="CJ12" s="301"/>
      <c r="CK12" s="66"/>
      <c r="CL12" s="72">
        <f t="shared" si="14"/>
        <v>0</v>
      </c>
      <c r="CM12" s="66"/>
      <c r="CN12" s="66"/>
      <c r="CO12" s="72">
        <f t="shared" si="15"/>
        <v>342.32</v>
      </c>
      <c r="CP12" s="301"/>
    </row>
    <row r="13" spans="1:94" x14ac:dyDescent="0.25">
      <c r="A13" s="3" t="s">
        <v>247</v>
      </c>
      <c r="B13" s="3" t="s">
        <v>52</v>
      </c>
      <c r="C13" s="3" t="s">
        <v>47</v>
      </c>
      <c r="D13" s="3" t="s">
        <v>48</v>
      </c>
      <c r="E13" s="3" t="s">
        <v>48</v>
      </c>
      <c r="F13" t="s">
        <v>523</v>
      </c>
      <c r="G13" t="s">
        <v>53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705">
        <v>0</v>
      </c>
      <c r="N13" s="206" t="s">
        <v>541</v>
      </c>
      <c r="P13" s="229"/>
      <c r="Q13" s="228">
        <f>INDEX('Apportionment Bases'!AU$6:AU$33,MATCH('PC24'!$N13,'Apportionment Bases'!$A$6:$A$33,0))</f>
        <v>0</v>
      </c>
      <c r="R13" s="229"/>
      <c r="S13" s="229"/>
      <c r="T13" s="228">
        <f>INDEX('Apportionment Bases'!AX$6:AX$33,MATCH('PC24'!$N13,'Apportionment Bases'!$A$6:$A$33,0))</f>
        <v>1</v>
      </c>
      <c r="V13" s="66"/>
      <c r="W13" s="72">
        <f t="shared" si="1"/>
        <v>0</v>
      </c>
      <c r="X13" s="66"/>
      <c r="Y13" s="66"/>
      <c r="Z13" s="72">
        <f t="shared" si="2"/>
        <v>0</v>
      </c>
      <c r="AA13" s="266" t="str">
        <f t="shared" si="3"/>
        <v>TRUE</v>
      </c>
      <c r="AD13" s="197"/>
      <c r="AE13" s="197"/>
      <c r="AF13" s="197"/>
      <c r="AG13" s="197"/>
      <c r="AH13" s="301"/>
      <c r="AO13" s="81"/>
      <c r="AP13" s="72">
        <f t="shared" si="4"/>
        <v>0</v>
      </c>
      <c r="AQ13" s="117"/>
      <c r="AR13" s="117"/>
      <c r="AS13" s="72">
        <f t="shared" si="5"/>
        <v>0</v>
      </c>
      <c r="AT13" s="300"/>
      <c r="AU13" s="81"/>
      <c r="AV13" s="72">
        <f t="shared" si="6"/>
        <v>0</v>
      </c>
      <c r="AW13" s="81"/>
      <c r="AX13" s="81"/>
      <c r="AY13" s="72">
        <f t="shared" si="7"/>
        <v>0</v>
      </c>
      <c r="AZ13" s="300"/>
      <c r="BG13" s="81"/>
      <c r="BH13" s="72">
        <f t="shared" si="8"/>
        <v>0</v>
      </c>
      <c r="BI13" s="81"/>
      <c r="BJ13" s="81"/>
      <c r="BK13" s="72">
        <f t="shared" si="9"/>
        <v>0</v>
      </c>
      <c r="BL13" s="300"/>
      <c r="BM13" s="81"/>
      <c r="BN13" s="72">
        <f t="shared" si="10"/>
        <v>0</v>
      </c>
      <c r="BO13" s="81"/>
      <c r="BP13" s="81"/>
      <c r="BQ13" s="72">
        <f t="shared" si="11"/>
        <v>0</v>
      </c>
      <c r="CD13" s="300"/>
      <c r="CE13" s="81"/>
      <c r="CF13" s="72">
        <f t="shared" si="12"/>
        <v>0</v>
      </c>
      <c r="CG13" s="81"/>
      <c r="CH13" s="81"/>
      <c r="CI13" s="72">
        <f t="shared" si="13"/>
        <v>0</v>
      </c>
      <c r="CJ13" s="301"/>
      <c r="CK13" s="66"/>
      <c r="CL13" s="72">
        <f t="shared" si="14"/>
        <v>0</v>
      </c>
      <c r="CM13" s="66"/>
      <c r="CN13" s="66"/>
      <c r="CO13" s="72">
        <f t="shared" si="15"/>
        <v>0</v>
      </c>
      <c r="CP13" s="301"/>
    </row>
    <row r="14" spans="1:94" x14ac:dyDescent="0.25">
      <c r="A14" s="3" t="s">
        <v>247</v>
      </c>
      <c r="B14" s="3" t="s">
        <v>56</v>
      </c>
      <c r="C14" s="3" t="s">
        <v>45</v>
      </c>
      <c r="D14" s="3" t="s">
        <v>48</v>
      </c>
      <c r="E14" s="3" t="s">
        <v>48</v>
      </c>
      <c r="F14" t="s">
        <v>524</v>
      </c>
      <c r="G14" t="s">
        <v>57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  <c r="L14" s="705">
        <v>0</v>
      </c>
      <c r="N14" s="206" t="s">
        <v>541</v>
      </c>
      <c r="P14" s="229"/>
      <c r="Q14" s="228">
        <f>INDEX('Apportionment Bases'!AU$6:AU$33,MATCH('PC24'!$N14,'Apportionment Bases'!$A$6:$A$33,0))</f>
        <v>0</v>
      </c>
      <c r="R14" s="229"/>
      <c r="S14" s="229"/>
      <c r="T14" s="228">
        <f>INDEX('Apportionment Bases'!AX$6:AX$33,MATCH('PC24'!$N14,'Apportionment Bases'!$A$6:$A$33,0))</f>
        <v>1</v>
      </c>
      <c r="V14" s="66"/>
      <c r="W14" s="72">
        <f t="shared" si="1"/>
        <v>0</v>
      </c>
      <c r="X14" s="66"/>
      <c r="Y14" s="66"/>
      <c r="Z14" s="72">
        <f t="shared" si="2"/>
        <v>0</v>
      </c>
      <c r="AA14" s="266" t="str">
        <f t="shared" si="3"/>
        <v>TRUE</v>
      </c>
      <c r="AD14" s="197"/>
      <c r="AE14" s="197"/>
      <c r="AF14" s="197"/>
      <c r="AG14" s="197"/>
      <c r="AH14" s="301"/>
      <c r="AO14" s="81"/>
      <c r="AP14" s="72">
        <f t="shared" si="4"/>
        <v>0</v>
      </c>
      <c r="AQ14" s="117"/>
      <c r="AR14" s="117"/>
      <c r="AS14" s="72">
        <f t="shared" si="5"/>
        <v>0</v>
      </c>
      <c r="AT14" s="300"/>
      <c r="AU14" s="81"/>
      <c r="AV14" s="72">
        <f t="shared" si="6"/>
        <v>0</v>
      </c>
      <c r="AW14" s="81"/>
      <c r="AX14" s="81"/>
      <c r="AY14" s="72">
        <f t="shared" si="7"/>
        <v>0</v>
      </c>
      <c r="AZ14" s="300"/>
      <c r="BG14" s="81"/>
      <c r="BH14" s="72">
        <f t="shared" si="8"/>
        <v>0</v>
      </c>
      <c r="BI14" s="81"/>
      <c r="BJ14" s="81"/>
      <c r="BK14" s="72">
        <f t="shared" si="9"/>
        <v>0</v>
      </c>
      <c r="BL14" s="300"/>
      <c r="BM14" s="81"/>
      <c r="BN14" s="72">
        <f t="shared" si="10"/>
        <v>0</v>
      </c>
      <c r="BO14" s="81"/>
      <c r="BP14" s="81"/>
      <c r="BQ14" s="72">
        <f t="shared" si="11"/>
        <v>0</v>
      </c>
      <c r="CD14" s="300"/>
      <c r="CE14" s="81"/>
      <c r="CF14" s="72">
        <f t="shared" si="12"/>
        <v>0</v>
      </c>
      <c r="CG14" s="81"/>
      <c r="CH14" s="81"/>
      <c r="CI14" s="72">
        <f t="shared" si="13"/>
        <v>0</v>
      </c>
      <c r="CJ14" s="301"/>
      <c r="CK14" s="66"/>
      <c r="CL14" s="72">
        <f t="shared" si="14"/>
        <v>0</v>
      </c>
      <c r="CM14" s="66"/>
      <c r="CN14" s="66"/>
      <c r="CO14" s="72">
        <f t="shared" si="15"/>
        <v>0</v>
      </c>
      <c r="CP14" s="301"/>
    </row>
    <row r="15" spans="1:94" x14ac:dyDescent="0.25">
      <c r="A15" s="3" t="s">
        <v>247</v>
      </c>
      <c r="B15" s="3" t="s">
        <v>60</v>
      </c>
      <c r="C15" s="3" t="s">
        <v>47</v>
      </c>
      <c r="D15" s="3" t="s">
        <v>48</v>
      </c>
      <c r="E15" s="3" t="s">
        <v>48</v>
      </c>
      <c r="F15" t="s">
        <v>525</v>
      </c>
      <c r="G15" t="s">
        <v>61</v>
      </c>
      <c r="H15" s="67">
        <f t="shared" si="0"/>
        <v>1241.5</v>
      </c>
      <c r="I15" s="67">
        <f t="shared" si="0"/>
        <v>1241.5</v>
      </c>
      <c r="J15" s="67">
        <f t="shared" si="0"/>
        <v>1241.5</v>
      </c>
      <c r="K15" s="67">
        <f t="shared" si="0"/>
        <v>1241.5</v>
      </c>
      <c r="L15" s="705">
        <v>4966</v>
      </c>
      <c r="N15" s="206" t="s">
        <v>541</v>
      </c>
      <c r="P15" s="229"/>
      <c r="Q15" s="228">
        <f>INDEX('Apportionment Bases'!AU$6:AU$33,MATCH('PC24'!$N15,'Apportionment Bases'!$A$6:$A$33,0))</f>
        <v>0</v>
      </c>
      <c r="R15" s="229"/>
      <c r="S15" s="229"/>
      <c r="T15" s="228">
        <f>INDEX('Apportionment Bases'!AX$6:AX$33,MATCH('PC24'!$N15,'Apportionment Bases'!$A$6:$A$33,0))</f>
        <v>1</v>
      </c>
      <c r="V15" s="66"/>
      <c r="W15" s="72">
        <f t="shared" si="1"/>
        <v>0</v>
      </c>
      <c r="X15" s="66"/>
      <c r="Y15" s="66"/>
      <c r="Z15" s="72">
        <f t="shared" si="2"/>
        <v>4966</v>
      </c>
      <c r="AA15" s="266" t="str">
        <f t="shared" si="3"/>
        <v>TRUE</v>
      </c>
      <c r="AD15" s="197"/>
      <c r="AE15" s="197"/>
      <c r="AF15" s="197"/>
      <c r="AG15" s="197"/>
      <c r="AH15" s="301"/>
      <c r="AO15" s="81"/>
      <c r="AP15" s="72">
        <f t="shared" si="4"/>
        <v>0</v>
      </c>
      <c r="AQ15" s="117"/>
      <c r="AR15" s="117"/>
      <c r="AS15" s="72">
        <f t="shared" si="5"/>
        <v>2177.5057181625443</v>
      </c>
      <c r="AT15" s="300"/>
      <c r="AU15" s="81"/>
      <c r="AV15" s="72">
        <f t="shared" si="6"/>
        <v>0</v>
      </c>
      <c r="AW15" s="81"/>
      <c r="AX15" s="81"/>
      <c r="AY15" s="72">
        <f t="shared" si="7"/>
        <v>611.31460000000004</v>
      </c>
      <c r="AZ15" s="300"/>
      <c r="BG15" s="81"/>
      <c r="BH15" s="72">
        <f t="shared" si="8"/>
        <v>0</v>
      </c>
      <c r="BI15" s="81"/>
      <c r="BJ15" s="81"/>
      <c r="BK15" s="72">
        <f t="shared" si="9"/>
        <v>809.55732</v>
      </c>
      <c r="BL15" s="300"/>
      <c r="BM15" s="81"/>
      <c r="BN15" s="72">
        <f t="shared" si="10"/>
        <v>0</v>
      </c>
      <c r="BO15" s="81"/>
      <c r="BP15" s="81"/>
      <c r="BQ15" s="72">
        <f t="shared" si="11"/>
        <v>782.6275618374558</v>
      </c>
      <c r="CD15" s="300"/>
      <c r="CE15" s="81"/>
      <c r="CF15" s="72">
        <f t="shared" si="12"/>
        <v>0</v>
      </c>
      <c r="CG15" s="81"/>
      <c r="CH15" s="81"/>
      <c r="CI15" s="72">
        <f t="shared" si="13"/>
        <v>38.7348</v>
      </c>
      <c r="CJ15" s="301"/>
      <c r="CK15" s="66"/>
      <c r="CL15" s="72">
        <f t="shared" si="14"/>
        <v>0</v>
      </c>
      <c r="CM15" s="66"/>
      <c r="CN15" s="66"/>
      <c r="CO15" s="72">
        <f t="shared" si="15"/>
        <v>546.26</v>
      </c>
      <c r="CP15" s="301"/>
    </row>
    <row r="16" spans="1:94" x14ac:dyDescent="0.25">
      <c r="A16" s="3" t="s">
        <v>247</v>
      </c>
      <c r="B16" s="3" t="s">
        <v>60</v>
      </c>
      <c r="C16" s="3" t="s">
        <v>45</v>
      </c>
      <c r="D16" s="3" t="s">
        <v>48</v>
      </c>
      <c r="E16" s="3" t="s">
        <v>48</v>
      </c>
      <c r="F16" t="s">
        <v>526</v>
      </c>
      <c r="G16" t="s">
        <v>61</v>
      </c>
      <c r="H16" s="67">
        <f t="shared" si="0"/>
        <v>15883.5</v>
      </c>
      <c r="I16" s="67">
        <f t="shared" si="0"/>
        <v>15883.5</v>
      </c>
      <c r="J16" s="67">
        <f t="shared" si="0"/>
        <v>15883.5</v>
      </c>
      <c r="K16" s="67">
        <f t="shared" si="0"/>
        <v>15883.5</v>
      </c>
      <c r="L16" s="705">
        <v>63534</v>
      </c>
      <c r="N16" s="206" t="s">
        <v>541</v>
      </c>
      <c r="P16" s="229"/>
      <c r="Q16" s="228">
        <f>INDEX('Apportionment Bases'!AU$6:AU$33,MATCH('PC24'!$N16,'Apportionment Bases'!$A$6:$A$33,0))</f>
        <v>0</v>
      </c>
      <c r="R16" s="229"/>
      <c r="S16" s="229"/>
      <c r="T16" s="228">
        <f>INDEX('Apportionment Bases'!AX$6:AX$33,MATCH('PC24'!$N16,'Apportionment Bases'!$A$6:$A$33,0))</f>
        <v>1</v>
      </c>
      <c r="V16" s="66"/>
      <c r="W16" s="72">
        <f>Q16*$L16</f>
        <v>0</v>
      </c>
      <c r="X16" s="66"/>
      <c r="Y16" s="66"/>
      <c r="Z16" s="72">
        <f t="shared" si="2"/>
        <v>63534</v>
      </c>
      <c r="AA16" s="266" t="str">
        <f t="shared" si="3"/>
        <v>TRUE</v>
      </c>
      <c r="AD16" s="197"/>
      <c r="AE16" s="197"/>
      <c r="AF16" s="197"/>
      <c r="AG16" s="197"/>
      <c r="AH16" s="301"/>
      <c r="AO16" s="81"/>
      <c r="AP16" s="72">
        <f t="shared" si="4"/>
        <v>0</v>
      </c>
      <c r="AQ16" s="117"/>
      <c r="AR16" s="117"/>
      <c r="AS16" s="72">
        <f t="shared" si="5"/>
        <v>27858.567921413432</v>
      </c>
      <c r="AT16" s="300"/>
      <c r="AU16" s="81"/>
      <c r="AV16" s="72">
        <f t="shared" si="6"/>
        <v>0</v>
      </c>
      <c r="AW16" s="81"/>
      <c r="AX16" s="81"/>
      <c r="AY16" s="72">
        <f t="shared" si="7"/>
        <v>7821.0353999999998</v>
      </c>
      <c r="AZ16" s="300"/>
      <c r="BG16" s="81"/>
      <c r="BH16" s="72">
        <f t="shared" si="8"/>
        <v>0</v>
      </c>
      <c r="BI16" s="81"/>
      <c r="BJ16" s="81"/>
      <c r="BK16" s="72">
        <f t="shared" si="9"/>
        <v>10357.312679999999</v>
      </c>
      <c r="BL16" s="300"/>
      <c r="BM16" s="81"/>
      <c r="BN16" s="72">
        <f t="shared" si="10"/>
        <v>0</v>
      </c>
      <c r="BO16" s="81"/>
      <c r="BP16" s="81"/>
      <c r="BQ16" s="72">
        <f t="shared" si="11"/>
        <v>10012.778798586573</v>
      </c>
      <c r="CD16" s="300"/>
      <c r="CE16" s="81"/>
      <c r="CF16" s="72">
        <f t="shared" si="12"/>
        <v>0</v>
      </c>
      <c r="CG16" s="81"/>
      <c r="CH16" s="81"/>
      <c r="CI16" s="72">
        <f t="shared" si="13"/>
        <v>495.5652</v>
      </c>
      <c r="CJ16" s="301"/>
      <c r="CK16" s="66"/>
      <c r="CL16" s="72">
        <f t="shared" si="14"/>
        <v>0</v>
      </c>
      <c r="CM16" s="66"/>
      <c r="CN16" s="66"/>
      <c r="CO16" s="72">
        <f t="shared" si="15"/>
        <v>6988.74</v>
      </c>
      <c r="CP16" s="301"/>
    </row>
    <row r="17" spans="1:94" ht="15.75" thickBot="1" x14ac:dyDescent="0.3">
      <c r="A17" s="27"/>
      <c r="B17" s="27"/>
      <c r="C17" s="27"/>
      <c r="D17" s="27"/>
      <c r="E17" s="27"/>
      <c r="F17" s="28"/>
      <c r="G17" s="28" t="s">
        <v>64</v>
      </c>
      <c r="H17" s="29"/>
      <c r="I17" s="29"/>
      <c r="J17" s="29"/>
      <c r="K17" s="29"/>
      <c r="L17" s="706">
        <f>SUM(L7:L16)</f>
        <v>164576</v>
      </c>
      <c r="M17" s="28"/>
      <c r="N17" s="28"/>
      <c r="O17" s="28"/>
      <c r="P17" s="230"/>
      <c r="Q17" s="230"/>
      <c r="R17" s="230"/>
      <c r="S17" s="230"/>
      <c r="T17" s="230"/>
      <c r="U17" s="28"/>
      <c r="V17" s="28"/>
      <c r="W17" s="29">
        <f>SUM(W7:W16)</f>
        <v>0</v>
      </c>
      <c r="X17" s="28"/>
      <c r="Y17" s="28"/>
      <c r="Z17" s="29">
        <f>SUM(Z7:Z16)</f>
        <v>164576</v>
      </c>
      <c r="AA17" s="28"/>
      <c r="AB17" s="28" t="s">
        <v>187</v>
      </c>
      <c r="AC17" s="28"/>
      <c r="AD17" s="297">
        <f t="shared" ref="AD17:AG17" si="16">SUM(AD7:AD12)</f>
        <v>1</v>
      </c>
      <c r="AE17" s="200"/>
      <c r="AF17" s="200"/>
      <c r="AG17" s="297">
        <f t="shared" si="16"/>
        <v>1</v>
      </c>
      <c r="AH17" s="306"/>
      <c r="AI17" s="28"/>
      <c r="AJ17" s="28"/>
      <c r="AK17" s="28"/>
      <c r="AL17" s="28"/>
      <c r="AM17" s="28"/>
      <c r="AN17" s="28"/>
      <c r="AO17" s="28"/>
      <c r="AP17" s="29">
        <f>SUM(AP7:AP16)</f>
        <v>0</v>
      </c>
      <c r="AQ17" s="29"/>
      <c r="AR17" s="29"/>
      <c r="AS17" s="29">
        <f>SUM(AS7:AS16)</f>
        <v>72163.749712508841</v>
      </c>
      <c r="AT17" s="306"/>
      <c r="AU17" s="28"/>
      <c r="AV17" s="29">
        <f>SUM(AV7:AV16)</f>
        <v>0</v>
      </c>
      <c r="AW17" s="29"/>
      <c r="AX17" s="29"/>
      <c r="AY17" s="29">
        <f>SUM(AY7:AY16)</f>
        <v>20259.3056</v>
      </c>
      <c r="AZ17" s="306"/>
      <c r="BA17" s="28"/>
      <c r="BB17" s="28"/>
      <c r="BC17" s="28"/>
      <c r="BD17" s="28"/>
      <c r="BE17" s="28"/>
      <c r="BF17" s="28"/>
      <c r="BG17" s="28"/>
      <c r="BH17" s="29">
        <f>SUM(BH7:BH16)</f>
        <v>0</v>
      </c>
      <c r="BI17" s="29"/>
      <c r="BJ17" s="29"/>
      <c r="BK17" s="29">
        <f>SUM(BK7:BK16)</f>
        <v>26829.179520000002</v>
      </c>
      <c r="BL17" s="306"/>
      <c r="BM17" s="28"/>
      <c r="BN17" s="29">
        <f>SUM(BN7:BN16)</f>
        <v>0</v>
      </c>
      <c r="BO17" s="29"/>
      <c r="BP17" s="29"/>
      <c r="BQ17" s="29">
        <f>SUM(BQ7:BQ16)</f>
        <v>25936.712367491164</v>
      </c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306"/>
      <c r="CE17" s="28"/>
      <c r="CF17" s="29">
        <f>SUM(CF7:CF16)</f>
        <v>0</v>
      </c>
      <c r="CG17" s="29"/>
      <c r="CH17" s="29"/>
      <c r="CI17" s="29">
        <f>SUM(CI7:CI16)</f>
        <v>1283.6927999999998</v>
      </c>
      <c r="CJ17" s="306"/>
      <c r="CK17" s="28"/>
      <c r="CL17" s="29">
        <f>SUM(CL7:CL16)</f>
        <v>0</v>
      </c>
      <c r="CM17" s="29"/>
      <c r="CN17" s="29"/>
      <c r="CO17" s="29">
        <f>SUM(CO7:CO16)</f>
        <v>18103.36</v>
      </c>
      <c r="CP17" s="301"/>
    </row>
    <row r="18" spans="1:94" ht="15.75" thickTop="1" x14ac:dyDescent="0.25">
      <c r="A18"/>
      <c r="B18"/>
      <c r="C18"/>
      <c r="D18"/>
      <c r="E18"/>
      <c r="L18" s="710"/>
      <c r="P18" s="231"/>
      <c r="Q18" s="231"/>
      <c r="R18" s="231"/>
      <c r="S18" s="231"/>
      <c r="T18" s="231"/>
      <c r="AH18" s="301"/>
      <c r="AT18" s="300"/>
      <c r="AZ18" s="300"/>
      <c r="BL18" s="300"/>
      <c r="CD18" s="300"/>
      <c r="CJ18" s="301"/>
      <c r="CP18" s="301"/>
    </row>
    <row r="19" spans="1:94" ht="15.75" thickBot="1" x14ac:dyDescent="0.3">
      <c r="A19" s="760" t="s">
        <v>65</v>
      </c>
      <c r="B19" s="760"/>
      <c r="C19" s="760"/>
      <c r="D19" s="760"/>
      <c r="E19" s="760"/>
      <c r="F19" s="760"/>
      <c r="G19" s="760"/>
      <c r="H19" s="75"/>
      <c r="I19" s="75"/>
      <c r="J19" s="75"/>
      <c r="K19" s="75"/>
      <c r="L19" s="713"/>
      <c r="M19" s="9"/>
      <c r="N19" s="9"/>
      <c r="O19" s="9"/>
      <c r="P19" s="232"/>
      <c r="Q19" s="232"/>
      <c r="R19" s="232"/>
      <c r="S19" s="232"/>
      <c r="T19" s="23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13"/>
      <c r="AI19" s="9"/>
      <c r="AJ19" s="9"/>
      <c r="AK19" s="9"/>
      <c r="AL19" s="9"/>
      <c r="AM19" s="9"/>
      <c r="AN19" s="9"/>
      <c r="AO19" s="9"/>
      <c r="AP19" s="75"/>
      <c r="AQ19" s="75"/>
      <c r="AR19" s="75"/>
      <c r="AS19" s="75"/>
      <c r="AT19" s="313"/>
      <c r="AU19" s="9"/>
      <c r="AV19" s="9"/>
      <c r="AW19" s="9"/>
      <c r="AX19" s="9"/>
      <c r="AY19" s="9"/>
      <c r="AZ19" s="313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313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313"/>
      <c r="CE19" s="9"/>
      <c r="CF19" s="9"/>
      <c r="CG19" s="9"/>
      <c r="CH19" s="9"/>
      <c r="CI19" s="9"/>
      <c r="CJ19" s="313"/>
      <c r="CK19" s="9"/>
      <c r="CL19" s="9"/>
      <c r="CM19" s="9"/>
      <c r="CN19" s="9"/>
      <c r="CO19" s="9"/>
      <c r="CP19" s="301"/>
    </row>
    <row r="20" spans="1:94" x14ac:dyDescent="0.25">
      <c r="A20" s="3" t="s">
        <v>247</v>
      </c>
      <c r="B20" s="3" t="s">
        <v>66</v>
      </c>
      <c r="C20" s="3" t="s">
        <v>47</v>
      </c>
      <c r="D20" s="3" t="s">
        <v>48</v>
      </c>
      <c r="E20" s="3" t="s">
        <v>48</v>
      </c>
      <c r="F20" t="s">
        <v>500</v>
      </c>
      <c r="G20" t="s">
        <v>11</v>
      </c>
      <c r="H20" s="67">
        <f t="shared" ref="H20:K35" si="17">$L20/4</f>
        <v>250</v>
      </c>
      <c r="I20" s="67">
        <f t="shared" si="17"/>
        <v>250</v>
      </c>
      <c r="J20" s="67">
        <f t="shared" si="17"/>
        <v>250</v>
      </c>
      <c r="K20" s="67">
        <f t="shared" si="17"/>
        <v>250</v>
      </c>
      <c r="L20" s="705">
        <v>1000</v>
      </c>
      <c r="N20" s="206" t="s">
        <v>541</v>
      </c>
      <c r="P20" s="229"/>
      <c r="Q20" s="228">
        <f>INDEX('Apportionment Bases'!AU$6:AU$33,MATCH('PC24'!$N20,'Apportionment Bases'!$A$6:$A$33,0))</f>
        <v>0</v>
      </c>
      <c r="R20" s="229"/>
      <c r="S20" s="229"/>
      <c r="T20" s="228">
        <f>INDEX('Apportionment Bases'!AX$6:AX$33,MATCH('PC24'!$N20,'Apportionment Bases'!$A$6:$A$33,0))</f>
        <v>1</v>
      </c>
      <c r="V20" s="66"/>
      <c r="W20" s="72">
        <f>Q20*$L20</f>
        <v>0</v>
      </c>
      <c r="X20" s="66"/>
      <c r="Y20" s="66"/>
      <c r="Z20" s="72">
        <f t="shared" ref="Z20" si="18">T20*$L20</f>
        <v>1000</v>
      </c>
      <c r="AA20" s="266" t="str">
        <f t="shared" ref="AA20:AA43" si="19">IF(SUM(V20:Z20)=L20,"TRUE","FALSE")</f>
        <v>TRUE</v>
      </c>
      <c r="AH20" s="301"/>
      <c r="AO20" s="81"/>
      <c r="AP20" s="72">
        <f>$AD$7*W20</f>
        <v>0</v>
      </c>
      <c r="AQ20" s="117"/>
      <c r="AR20" s="117"/>
      <c r="AS20" s="72">
        <f t="shared" ref="AS20" si="20">$AG$7*Z20</f>
        <v>438.48282685512373</v>
      </c>
      <c r="AT20" s="300"/>
      <c r="AU20" s="81"/>
      <c r="AV20" s="72">
        <f t="shared" ref="AV20" si="21">$AD$8*W20</f>
        <v>0</v>
      </c>
      <c r="AW20" s="81"/>
      <c r="AX20" s="81"/>
      <c r="AY20" s="72">
        <f t="shared" ref="AY20" si="22">$AG$8*Z20</f>
        <v>123.1</v>
      </c>
      <c r="AZ20" s="300"/>
      <c r="BG20" s="81"/>
      <c r="BH20" s="72">
        <f t="shared" ref="BH20" si="23">$AD$9*W20</f>
        <v>0</v>
      </c>
      <c r="BI20" s="81"/>
      <c r="BJ20" s="81"/>
      <c r="BK20" s="72">
        <f t="shared" ref="BK20" si="24">$AG$9*Z20</f>
        <v>163.02000000000001</v>
      </c>
      <c r="BL20" s="300"/>
      <c r="BM20" s="81"/>
      <c r="BN20" s="72">
        <f t="shared" ref="BN20" si="25">$AD$10*W20</f>
        <v>0</v>
      </c>
      <c r="BO20" s="81"/>
      <c r="BP20" s="81"/>
      <c r="BQ20" s="72">
        <f t="shared" ref="BQ20" si="26">$AG$10*Z20</f>
        <v>157.59717314487631</v>
      </c>
      <c r="CD20" s="300"/>
      <c r="CE20" s="81"/>
      <c r="CF20" s="72">
        <f t="shared" ref="CF20" si="27">$AD$11*W20</f>
        <v>0</v>
      </c>
      <c r="CG20" s="81"/>
      <c r="CH20" s="81"/>
      <c r="CI20" s="72">
        <f t="shared" ref="CI20" si="28">$AG$11*Z20</f>
        <v>7.8</v>
      </c>
      <c r="CJ20" s="301"/>
      <c r="CK20" s="66"/>
      <c r="CL20" s="72">
        <f t="shared" ref="CL20" si="29">$AD$12*W20</f>
        <v>0</v>
      </c>
      <c r="CM20" s="66"/>
      <c r="CN20" s="66"/>
      <c r="CO20" s="72">
        <f t="shared" ref="CO20" si="30">$AG$12*Z20</f>
        <v>110</v>
      </c>
      <c r="CP20" s="301"/>
    </row>
    <row r="21" spans="1:94" x14ac:dyDescent="0.25">
      <c r="A21" s="3" t="s">
        <v>247</v>
      </c>
      <c r="B21" s="3" t="s">
        <v>66</v>
      </c>
      <c r="C21" s="3" t="s">
        <v>45</v>
      </c>
      <c r="D21" s="3" t="s">
        <v>48</v>
      </c>
      <c r="E21" s="3" t="s">
        <v>48</v>
      </c>
      <c r="F21" t="s">
        <v>501</v>
      </c>
      <c r="G21" t="s">
        <v>11</v>
      </c>
      <c r="H21" s="67">
        <f t="shared" si="17"/>
        <v>0</v>
      </c>
      <c r="I21" s="67">
        <f t="shared" si="17"/>
        <v>0</v>
      </c>
      <c r="J21" s="67">
        <f t="shared" si="17"/>
        <v>0</v>
      </c>
      <c r="K21" s="67">
        <f t="shared" si="17"/>
        <v>0</v>
      </c>
      <c r="L21" s="705">
        <v>0</v>
      </c>
      <c r="N21" s="206" t="s">
        <v>541</v>
      </c>
      <c r="P21" s="229"/>
      <c r="Q21" s="228">
        <f>INDEX('Apportionment Bases'!AU$6:AU$33,MATCH('PC24'!$N21,'Apportionment Bases'!$A$6:$A$33,0))</f>
        <v>0</v>
      </c>
      <c r="R21" s="229"/>
      <c r="S21" s="229"/>
      <c r="T21" s="228">
        <f>INDEX('Apportionment Bases'!AX$6:AX$33,MATCH('PC24'!$N21,'Apportionment Bases'!$A$6:$A$33,0))</f>
        <v>1</v>
      </c>
      <c r="V21" s="66"/>
      <c r="W21" s="72">
        <f t="shared" ref="W21:W43" si="31">Q21*$L21</f>
        <v>0</v>
      </c>
      <c r="X21" s="66"/>
      <c r="Y21" s="66"/>
      <c r="Z21" s="72">
        <f t="shared" ref="Z21:Z43" si="32">T21*$L21</f>
        <v>0</v>
      </c>
      <c r="AA21" s="266" t="str">
        <f t="shared" si="19"/>
        <v>TRUE</v>
      </c>
      <c r="AH21" s="301"/>
      <c r="AO21" s="81"/>
      <c r="AP21" s="72">
        <f t="shared" ref="AP21:AP43" si="33">$AD$7*W21</f>
        <v>0</v>
      </c>
      <c r="AQ21" s="117"/>
      <c r="AR21" s="117"/>
      <c r="AS21" s="72">
        <f t="shared" ref="AS21:AS43" si="34">$AG$7*Z21</f>
        <v>0</v>
      </c>
      <c r="AT21" s="300"/>
      <c r="AU21" s="81"/>
      <c r="AV21" s="72">
        <f t="shared" ref="AV21:AV43" si="35">$AD$8*W21</f>
        <v>0</v>
      </c>
      <c r="AW21" s="81"/>
      <c r="AX21" s="81"/>
      <c r="AY21" s="72">
        <f t="shared" ref="AY21:AY43" si="36">$AG$8*Z21</f>
        <v>0</v>
      </c>
      <c r="AZ21" s="300"/>
      <c r="BG21" s="81"/>
      <c r="BH21" s="72">
        <f t="shared" ref="BH21:BH43" si="37">$AD$9*W21</f>
        <v>0</v>
      </c>
      <c r="BI21" s="81"/>
      <c r="BJ21" s="81"/>
      <c r="BK21" s="72">
        <f t="shared" ref="BK21:BK43" si="38">$AG$9*Z21</f>
        <v>0</v>
      </c>
      <c r="BL21" s="300"/>
      <c r="BM21" s="81"/>
      <c r="BN21" s="72">
        <f t="shared" ref="BN21:BN43" si="39">$AD$10*W21</f>
        <v>0</v>
      </c>
      <c r="BO21" s="81"/>
      <c r="BP21" s="81"/>
      <c r="BQ21" s="72">
        <f t="shared" ref="BQ21:BQ43" si="40">$AG$10*Z21</f>
        <v>0</v>
      </c>
      <c r="CD21" s="300"/>
      <c r="CE21" s="81"/>
      <c r="CF21" s="72">
        <f t="shared" ref="CF21:CF43" si="41">$AD$11*W21</f>
        <v>0</v>
      </c>
      <c r="CG21" s="81"/>
      <c r="CH21" s="81"/>
      <c r="CI21" s="72">
        <f t="shared" ref="CI21:CI43" si="42">$AG$11*Z21</f>
        <v>0</v>
      </c>
      <c r="CJ21" s="301"/>
      <c r="CK21" s="66"/>
      <c r="CL21" s="72">
        <f t="shared" ref="CL21:CL43" si="43">$AD$12*W21</f>
        <v>0</v>
      </c>
      <c r="CM21" s="66"/>
      <c r="CN21" s="66"/>
      <c r="CO21" s="72">
        <f t="shared" ref="CO21:CO43" si="44">$AG$12*Z21</f>
        <v>0</v>
      </c>
      <c r="CP21" s="301"/>
    </row>
    <row r="22" spans="1:94" x14ac:dyDescent="0.25">
      <c r="A22" s="149" t="s">
        <v>247</v>
      </c>
      <c r="B22" s="149" t="s">
        <v>82</v>
      </c>
      <c r="C22" s="149" t="s">
        <v>47</v>
      </c>
      <c r="D22" s="149" t="s">
        <v>48</v>
      </c>
      <c r="E22" s="149" t="s">
        <v>48</v>
      </c>
      <c r="F22" s="150" t="s">
        <v>502</v>
      </c>
      <c r="G22" t="s">
        <v>19</v>
      </c>
      <c r="H22" s="151">
        <f t="shared" si="17"/>
        <v>0</v>
      </c>
      <c r="I22" s="151">
        <f t="shared" si="17"/>
        <v>0</v>
      </c>
      <c r="J22" s="151">
        <f t="shared" si="17"/>
        <v>0</v>
      </c>
      <c r="K22" s="151">
        <f t="shared" si="17"/>
        <v>0</v>
      </c>
      <c r="L22" s="712">
        <v>0</v>
      </c>
      <c r="N22" s="206" t="s">
        <v>541</v>
      </c>
      <c r="P22" s="229"/>
      <c r="Q22" s="228">
        <f>INDEX('Apportionment Bases'!AU$6:AU$33,MATCH('PC24'!$N22,'Apportionment Bases'!$A$6:$A$33,0))</f>
        <v>0</v>
      </c>
      <c r="R22" s="229"/>
      <c r="S22" s="229"/>
      <c r="T22" s="228">
        <f>INDEX('Apportionment Bases'!AX$6:AX$33,MATCH('PC24'!$N22,'Apportionment Bases'!$A$6:$A$33,0))</f>
        <v>1</v>
      </c>
      <c r="V22" s="66"/>
      <c r="W22" s="72">
        <f t="shared" si="31"/>
        <v>0</v>
      </c>
      <c r="X22" s="66"/>
      <c r="Y22" s="66"/>
      <c r="Z22" s="72">
        <f t="shared" si="32"/>
        <v>0</v>
      </c>
      <c r="AA22" s="266" t="str">
        <f t="shared" si="19"/>
        <v>TRUE</v>
      </c>
      <c r="AH22" s="301"/>
      <c r="AO22" s="81"/>
      <c r="AP22" s="72">
        <f t="shared" si="33"/>
        <v>0</v>
      </c>
      <c r="AQ22" s="117"/>
      <c r="AR22" s="117"/>
      <c r="AS22" s="72">
        <f t="shared" si="34"/>
        <v>0</v>
      </c>
      <c r="AT22" s="300"/>
      <c r="AU22" s="81"/>
      <c r="AV22" s="72">
        <f t="shared" si="35"/>
        <v>0</v>
      </c>
      <c r="AW22" s="81"/>
      <c r="AX22" s="81"/>
      <c r="AY22" s="72">
        <f t="shared" si="36"/>
        <v>0</v>
      </c>
      <c r="AZ22" s="300"/>
      <c r="BG22" s="81"/>
      <c r="BH22" s="72">
        <f t="shared" si="37"/>
        <v>0</v>
      </c>
      <c r="BI22" s="81"/>
      <c r="BJ22" s="81"/>
      <c r="BK22" s="72">
        <f t="shared" si="38"/>
        <v>0</v>
      </c>
      <c r="BL22" s="300"/>
      <c r="BM22" s="81"/>
      <c r="BN22" s="72">
        <f t="shared" si="39"/>
        <v>0</v>
      </c>
      <c r="BO22" s="81"/>
      <c r="BP22" s="81"/>
      <c r="BQ22" s="72">
        <f t="shared" si="40"/>
        <v>0</v>
      </c>
      <c r="CD22" s="300"/>
      <c r="CE22" s="81"/>
      <c r="CF22" s="72">
        <f t="shared" si="41"/>
        <v>0</v>
      </c>
      <c r="CG22" s="81"/>
      <c r="CH22" s="81"/>
      <c r="CI22" s="72">
        <f t="shared" si="42"/>
        <v>0</v>
      </c>
      <c r="CJ22" s="301"/>
      <c r="CK22" s="66"/>
      <c r="CL22" s="72">
        <f t="shared" si="43"/>
        <v>0</v>
      </c>
      <c r="CM22" s="66"/>
      <c r="CN22" s="66"/>
      <c r="CO22" s="72">
        <f t="shared" si="44"/>
        <v>0</v>
      </c>
      <c r="CP22" s="301"/>
    </row>
    <row r="23" spans="1:94" x14ac:dyDescent="0.25">
      <c r="A23" s="149" t="s">
        <v>247</v>
      </c>
      <c r="B23" s="149" t="s">
        <v>82</v>
      </c>
      <c r="C23" s="149" t="s">
        <v>45</v>
      </c>
      <c r="D23" s="149" t="s">
        <v>48</v>
      </c>
      <c r="E23" s="149" t="s">
        <v>48</v>
      </c>
      <c r="F23" s="150" t="s">
        <v>503</v>
      </c>
      <c r="G23" t="s">
        <v>19</v>
      </c>
      <c r="H23" s="151">
        <f t="shared" si="17"/>
        <v>5000</v>
      </c>
      <c r="I23" s="151">
        <f t="shared" si="17"/>
        <v>5000</v>
      </c>
      <c r="J23" s="151">
        <f t="shared" si="17"/>
        <v>5000</v>
      </c>
      <c r="K23" s="151">
        <f t="shared" si="17"/>
        <v>5000</v>
      </c>
      <c r="L23" s="712">
        <v>20000</v>
      </c>
      <c r="N23" s="206" t="s">
        <v>541</v>
      </c>
      <c r="P23" s="229"/>
      <c r="Q23" s="228">
        <f>INDEX('Apportionment Bases'!AU$6:AU$33,MATCH('PC24'!$N23,'Apportionment Bases'!$A$6:$A$33,0))</f>
        <v>0</v>
      </c>
      <c r="R23" s="229"/>
      <c r="S23" s="229"/>
      <c r="T23" s="228">
        <f>INDEX('Apportionment Bases'!AX$6:AX$33,MATCH('PC24'!$N23,'Apportionment Bases'!$A$6:$A$33,0))</f>
        <v>1</v>
      </c>
      <c r="V23" s="66"/>
      <c r="W23" s="72">
        <f t="shared" si="31"/>
        <v>0</v>
      </c>
      <c r="X23" s="66"/>
      <c r="Y23" s="66"/>
      <c r="Z23" s="72">
        <f t="shared" si="32"/>
        <v>20000</v>
      </c>
      <c r="AA23" s="266" t="str">
        <f t="shared" si="19"/>
        <v>TRUE</v>
      </c>
      <c r="AH23" s="301"/>
      <c r="AO23" s="81"/>
      <c r="AP23" s="72">
        <f t="shared" si="33"/>
        <v>0</v>
      </c>
      <c r="AQ23" s="117"/>
      <c r="AR23" s="117"/>
      <c r="AS23" s="72">
        <f t="shared" si="34"/>
        <v>8769.6565371024753</v>
      </c>
      <c r="AT23" s="300"/>
      <c r="AU23" s="81"/>
      <c r="AV23" s="72">
        <f t="shared" si="35"/>
        <v>0</v>
      </c>
      <c r="AW23" s="81"/>
      <c r="AX23" s="81"/>
      <c r="AY23" s="72">
        <f t="shared" si="36"/>
        <v>2462</v>
      </c>
      <c r="AZ23" s="300"/>
      <c r="BG23" s="81"/>
      <c r="BH23" s="72">
        <f t="shared" si="37"/>
        <v>0</v>
      </c>
      <c r="BI23" s="81"/>
      <c r="BJ23" s="81"/>
      <c r="BK23" s="72">
        <f t="shared" si="38"/>
        <v>3260.4</v>
      </c>
      <c r="BL23" s="300"/>
      <c r="BM23" s="81"/>
      <c r="BN23" s="72">
        <f t="shared" si="39"/>
        <v>0</v>
      </c>
      <c r="BO23" s="81"/>
      <c r="BP23" s="81"/>
      <c r="BQ23" s="72">
        <f t="shared" si="40"/>
        <v>3151.9434628975264</v>
      </c>
      <c r="CD23" s="300"/>
      <c r="CE23" s="81"/>
      <c r="CF23" s="72">
        <f t="shared" si="41"/>
        <v>0</v>
      </c>
      <c r="CG23" s="81"/>
      <c r="CH23" s="81"/>
      <c r="CI23" s="72">
        <f t="shared" si="42"/>
        <v>156</v>
      </c>
      <c r="CJ23" s="301"/>
      <c r="CK23" s="66"/>
      <c r="CL23" s="72">
        <f t="shared" si="43"/>
        <v>0</v>
      </c>
      <c r="CM23" s="66"/>
      <c r="CN23" s="66"/>
      <c r="CO23" s="72">
        <f t="shared" si="44"/>
        <v>2200</v>
      </c>
      <c r="CP23" s="301"/>
    </row>
    <row r="24" spans="1:94" x14ac:dyDescent="0.25">
      <c r="A24" s="149" t="s">
        <v>247</v>
      </c>
      <c r="B24" s="149" t="s">
        <v>83</v>
      </c>
      <c r="C24" s="149" t="s">
        <v>47</v>
      </c>
      <c r="D24" s="149" t="s">
        <v>48</v>
      </c>
      <c r="E24" s="149" t="s">
        <v>48</v>
      </c>
      <c r="F24" s="150" t="s">
        <v>504</v>
      </c>
      <c r="G24" t="s">
        <v>20</v>
      </c>
      <c r="H24" s="151">
        <f t="shared" si="17"/>
        <v>0</v>
      </c>
      <c r="I24" s="151">
        <f t="shared" si="17"/>
        <v>0</v>
      </c>
      <c r="J24" s="151">
        <f t="shared" si="17"/>
        <v>0</v>
      </c>
      <c r="K24" s="151">
        <f t="shared" si="17"/>
        <v>0</v>
      </c>
      <c r="L24" s="712">
        <v>0</v>
      </c>
      <c r="N24" s="206" t="s">
        <v>541</v>
      </c>
      <c r="P24" s="229"/>
      <c r="Q24" s="228">
        <f>INDEX('Apportionment Bases'!AU$6:AU$33,MATCH('PC24'!$N24,'Apportionment Bases'!$A$6:$A$33,0))</f>
        <v>0</v>
      </c>
      <c r="R24" s="229"/>
      <c r="S24" s="229"/>
      <c r="T24" s="228">
        <f>INDEX('Apportionment Bases'!AX$6:AX$33,MATCH('PC24'!$N24,'Apportionment Bases'!$A$6:$A$33,0))</f>
        <v>1</v>
      </c>
      <c r="V24" s="66"/>
      <c r="W24" s="72">
        <f t="shared" si="31"/>
        <v>0</v>
      </c>
      <c r="X24" s="66"/>
      <c r="Y24" s="66"/>
      <c r="Z24" s="72">
        <f t="shared" si="32"/>
        <v>0</v>
      </c>
      <c r="AA24" s="266" t="str">
        <f t="shared" si="19"/>
        <v>TRUE</v>
      </c>
      <c r="AH24" s="301"/>
      <c r="AO24" s="81"/>
      <c r="AP24" s="72">
        <f t="shared" si="33"/>
        <v>0</v>
      </c>
      <c r="AQ24" s="117"/>
      <c r="AR24" s="117"/>
      <c r="AS24" s="72">
        <f t="shared" si="34"/>
        <v>0</v>
      </c>
      <c r="AT24" s="300"/>
      <c r="AU24" s="81"/>
      <c r="AV24" s="72">
        <f t="shared" si="35"/>
        <v>0</v>
      </c>
      <c r="AW24" s="81"/>
      <c r="AX24" s="81"/>
      <c r="AY24" s="72">
        <f t="shared" si="36"/>
        <v>0</v>
      </c>
      <c r="AZ24" s="300"/>
      <c r="BG24" s="81"/>
      <c r="BH24" s="72">
        <f t="shared" si="37"/>
        <v>0</v>
      </c>
      <c r="BI24" s="81"/>
      <c r="BJ24" s="81"/>
      <c r="BK24" s="72">
        <f t="shared" si="38"/>
        <v>0</v>
      </c>
      <c r="BL24" s="300"/>
      <c r="BM24" s="81"/>
      <c r="BN24" s="72">
        <f t="shared" si="39"/>
        <v>0</v>
      </c>
      <c r="BO24" s="81"/>
      <c r="BP24" s="81"/>
      <c r="BQ24" s="72">
        <f t="shared" si="40"/>
        <v>0</v>
      </c>
      <c r="CD24" s="300"/>
      <c r="CE24" s="81"/>
      <c r="CF24" s="72">
        <f t="shared" si="41"/>
        <v>0</v>
      </c>
      <c r="CG24" s="81"/>
      <c r="CH24" s="81"/>
      <c r="CI24" s="72">
        <f t="shared" si="42"/>
        <v>0</v>
      </c>
      <c r="CJ24" s="301"/>
      <c r="CK24" s="66"/>
      <c r="CL24" s="72">
        <f t="shared" si="43"/>
        <v>0</v>
      </c>
      <c r="CM24" s="66"/>
      <c r="CN24" s="66"/>
      <c r="CO24" s="72">
        <f t="shared" si="44"/>
        <v>0</v>
      </c>
      <c r="CP24" s="301"/>
    </row>
    <row r="25" spans="1:94" x14ac:dyDescent="0.25">
      <c r="A25" s="149" t="s">
        <v>247</v>
      </c>
      <c r="B25" s="149" t="s">
        <v>83</v>
      </c>
      <c r="C25" s="149" t="s">
        <v>45</v>
      </c>
      <c r="D25" s="149" t="s">
        <v>48</v>
      </c>
      <c r="E25" s="149" t="s">
        <v>48</v>
      </c>
      <c r="F25" s="150" t="s">
        <v>505</v>
      </c>
      <c r="G25" t="s">
        <v>20</v>
      </c>
      <c r="H25" s="151">
        <f t="shared" si="17"/>
        <v>6876</v>
      </c>
      <c r="I25" s="151">
        <f t="shared" si="17"/>
        <v>6876</v>
      </c>
      <c r="J25" s="151">
        <f t="shared" si="17"/>
        <v>6876</v>
      </c>
      <c r="K25" s="151">
        <f t="shared" si="17"/>
        <v>6876</v>
      </c>
      <c r="L25" s="712">
        <v>27504</v>
      </c>
      <c r="N25" s="206" t="s">
        <v>541</v>
      </c>
      <c r="P25" s="229"/>
      <c r="Q25" s="228">
        <f>INDEX('Apportionment Bases'!AU$6:AU$33,MATCH('PC24'!$N25,'Apportionment Bases'!$A$6:$A$33,0))</f>
        <v>0</v>
      </c>
      <c r="R25" s="229"/>
      <c r="S25" s="229"/>
      <c r="T25" s="228">
        <f>INDEX('Apportionment Bases'!AX$6:AX$33,MATCH('PC24'!$N25,'Apportionment Bases'!$A$6:$A$33,0))</f>
        <v>1</v>
      </c>
      <c r="V25" s="66"/>
      <c r="W25" s="72">
        <f t="shared" si="31"/>
        <v>0</v>
      </c>
      <c r="X25" s="66"/>
      <c r="Y25" s="66"/>
      <c r="Z25" s="72">
        <f t="shared" si="32"/>
        <v>27504</v>
      </c>
      <c r="AA25" s="266" t="str">
        <f t="shared" si="19"/>
        <v>TRUE</v>
      </c>
      <c r="AH25" s="301"/>
      <c r="AO25" s="81"/>
      <c r="AP25" s="72">
        <f t="shared" si="33"/>
        <v>0</v>
      </c>
      <c r="AQ25" s="117"/>
      <c r="AR25" s="117"/>
      <c r="AS25" s="72">
        <f t="shared" si="34"/>
        <v>12060.031669823324</v>
      </c>
      <c r="AT25" s="300"/>
      <c r="AU25" s="81"/>
      <c r="AV25" s="72">
        <f t="shared" si="35"/>
        <v>0</v>
      </c>
      <c r="AW25" s="81"/>
      <c r="AX25" s="81"/>
      <c r="AY25" s="72">
        <f t="shared" si="36"/>
        <v>3385.7424000000001</v>
      </c>
      <c r="AZ25" s="300"/>
      <c r="BG25" s="81"/>
      <c r="BH25" s="72">
        <f t="shared" si="37"/>
        <v>0</v>
      </c>
      <c r="BI25" s="81"/>
      <c r="BJ25" s="81"/>
      <c r="BK25" s="72">
        <f t="shared" si="38"/>
        <v>4483.70208</v>
      </c>
      <c r="BL25" s="300"/>
      <c r="BM25" s="81"/>
      <c r="BN25" s="72">
        <f t="shared" si="39"/>
        <v>0</v>
      </c>
      <c r="BO25" s="81"/>
      <c r="BP25" s="81"/>
      <c r="BQ25" s="72">
        <f t="shared" si="40"/>
        <v>4334.5526501766781</v>
      </c>
      <c r="CD25" s="300"/>
      <c r="CE25" s="81"/>
      <c r="CF25" s="72">
        <f t="shared" si="41"/>
        <v>0</v>
      </c>
      <c r="CG25" s="81"/>
      <c r="CH25" s="81"/>
      <c r="CI25" s="72">
        <f t="shared" si="42"/>
        <v>214.53119999999998</v>
      </c>
      <c r="CJ25" s="301"/>
      <c r="CK25" s="66"/>
      <c r="CL25" s="72">
        <f t="shared" si="43"/>
        <v>0</v>
      </c>
      <c r="CM25" s="66"/>
      <c r="CN25" s="66"/>
      <c r="CO25" s="72">
        <f t="shared" si="44"/>
        <v>3025.44</v>
      </c>
      <c r="CP25" s="301"/>
    </row>
    <row r="26" spans="1:94" x14ac:dyDescent="0.25">
      <c r="A26" s="149" t="s">
        <v>247</v>
      </c>
      <c r="B26" s="149" t="s">
        <v>84</v>
      </c>
      <c r="C26" s="149" t="s">
        <v>47</v>
      </c>
      <c r="D26" s="149" t="s">
        <v>48</v>
      </c>
      <c r="E26" s="149" t="s">
        <v>48</v>
      </c>
      <c r="F26" s="150" t="s">
        <v>506</v>
      </c>
      <c r="G26" t="s">
        <v>494</v>
      </c>
      <c r="H26" s="151">
        <f t="shared" si="17"/>
        <v>0</v>
      </c>
      <c r="I26" s="151">
        <f t="shared" si="17"/>
        <v>0</v>
      </c>
      <c r="J26" s="151">
        <f t="shared" si="17"/>
        <v>0</v>
      </c>
      <c r="K26" s="151">
        <f t="shared" si="17"/>
        <v>0</v>
      </c>
      <c r="L26" s="712">
        <v>0</v>
      </c>
      <c r="N26" s="206" t="s">
        <v>541</v>
      </c>
      <c r="P26" s="229"/>
      <c r="Q26" s="228">
        <f>INDEX('Apportionment Bases'!AU$6:AU$33,MATCH('PC24'!$N26,'Apportionment Bases'!$A$6:$A$33,0))</f>
        <v>0</v>
      </c>
      <c r="R26" s="229"/>
      <c r="S26" s="229"/>
      <c r="T26" s="228">
        <f>INDEX('Apportionment Bases'!AX$6:AX$33,MATCH('PC24'!$N26,'Apportionment Bases'!$A$6:$A$33,0))</f>
        <v>1</v>
      </c>
      <c r="V26" s="66"/>
      <c r="W26" s="72">
        <f t="shared" si="31"/>
        <v>0</v>
      </c>
      <c r="X26" s="66"/>
      <c r="Y26" s="66"/>
      <c r="Z26" s="72">
        <f t="shared" si="32"/>
        <v>0</v>
      </c>
      <c r="AA26" s="266" t="str">
        <f t="shared" si="19"/>
        <v>TRUE</v>
      </c>
      <c r="AH26" s="301"/>
      <c r="AO26" s="81"/>
      <c r="AP26" s="72">
        <f t="shared" si="33"/>
        <v>0</v>
      </c>
      <c r="AQ26" s="117"/>
      <c r="AR26" s="117"/>
      <c r="AS26" s="72">
        <f t="shared" si="34"/>
        <v>0</v>
      </c>
      <c r="AT26" s="300"/>
      <c r="AU26" s="81"/>
      <c r="AV26" s="72">
        <f t="shared" si="35"/>
        <v>0</v>
      </c>
      <c r="AW26" s="81"/>
      <c r="AX26" s="81"/>
      <c r="AY26" s="72">
        <f t="shared" si="36"/>
        <v>0</v>
      </c>
      <c r="AZ26" s="300"/>
      <c r="BG26" s="81"/>
      <c r="BH26" s="72">
        <f t="shared" si="37"/>
        <v>0</v>
      </c>
      <c r="BI26" s="81"/>
      <c r="BJ26" s="81"/>
      <c r="BK26" s="72">
        <f t="shared" si="38"/>
        <v>0</v>
      </c>
      <c r="BL26" s="300"/>
      <c r="BM26" s="81"/>
      <c r="BN26" s="72">
        <f t="shared" si="39"/>
        <v>0</v>
      </c>
      <c r="BO26" s="81"/>
      <c r="BP26" s="81"/>
      <c r="BQ26" s="72">
        <f t="shared" si="40"/>
        <v>0</v>
      </c>
      <c r="CD26" s="300"/>
      <c r="CE26" s="81"/>
      <c r="CF26" s="72">
        <f t="shared" si="41"/>
        <v>0</v>
      </c>
      <c r="CG26" s="81"/>
      <c r="CH26" s="81"/>
      <c r="CI26" s="72">
        <f t="shared" si="42"/>
        <v>0</v>
      </c>
      <c r="CJ26" s="301"/>
      <c r="CK26" s="66"/>
      <c r="CL26" s="72">
        <f t="shared" si="43"/>
        <v>0</v>
      </c>
      <c r="CM26" s="66"/>
      <c r="CN26" s="66"/>
      <c r="CO26" s="72">
        <f t="shared" si="44"/>
        <v>0</v>
      </c>
      <c r="CP26" s="301"/>
    </row>
    <row r="27" spans="1:94" x14ac:dyDescent="0.25">
      <c r="A27" s="149" t="s">
        <v>247</v>
      </c>
      <c r="B27" s="149" t="s">
        <v>84</v>
      </c>
      <c r="C27" s="149" t="s">
        <v>45</v>
      </c>
      <c r="D27" s="149" t="s">
        <v>48</v>
      </c>
      <c r="E27" s="149" t="s">
        <v>48</v>
      </c>
      <c r="F27" s="150" t="s">
        <v>507</v>
      </c>
      <c r="G27" t="s">
        <v>494</v>
      </c>
      <c r="H27" s="151">
        <f t="shared" si="17"/>
        <v>500</v>
      </c>
      <c r="I27" s="151">
        <f t="shared" si="17"/>
        <v>500</v>
      </c>
      <c r="J27" s="151">
        <f t="shared" si="17"/>
        <v>500</v>
      </c>
      <c r="K27" s="151">
        <f t="shared" si="17"/>
        <v>500</v>
      </c>
      <c r="L27" s="712">
        <v>2000</v>
      </c>
      <c r="N27" s="206" t="s">
        <v>541</v>
      </c>
      <c r="P27" s="229"/>
      <c r="Q27" s="228">
        <f>INDEX('Apportionment Bases'!AU$6:AU$33,MATCH('PC24'!$N27,'Apportionment Bases'!$A$6:$A$33,0))</f>
        <v>0</v>
      </c>
      <c r="R27" s="229"/>
      <c r="S27" s="229"/>
      <c r="T27" s="228">
        <f>INDEX('Apportionment Bases'!AX$6:AX$33,MATCH('PC24'!$N27,'Apportionment Bases'!$A$6:$A$33,0))</f>
        <v>1</v>
      </c>
      <c r="V27" s="66"/>
      <c r="W27" s="72">
        <f t="shared" si="31"/>
        <v>0</v>
      </c>
      <c r="X27" s="66"/>
      <c r="Y27" s="66"/>
      <c r="Z27" s="72">
        <f t="shared" si="32"/>
        <v>2000</v>
      </c>
      <c r="AA27" s="266" t="str">
        <f t="shared" si="19"/>
        <v>TRUE</v>
      </c>
      <c r="AH27" s="301"/>
      <c r="AO27" s="81"/>
      <c r="AP27" s="72">
        <f t="shared" si="33"/>
        <v>0</v>
      </c>
      <c r="AQ27" s="117"/>
      <c r="AR27" s="117"/>
      <c r="AS27" s="72">
        <f t="shared" si="34"/>
        <v>876.96565371024747</v>
      </c>
      <c r="AT27" s="300"/>
      <c r="AU27" s="81"/>
      <c r="AV27" s="72">
        <f t="shared" si="35"/>
        <v>0</v>
      </c>
      <c r="AW27" s="81"/>
      <c r="AX27" s="81"/>
      <c r="AY27" s="72">
        <f t="shared" si="36"/>
        <v>246.2</v>
      </c>
      <c r="AZ27" s="300"/>
      <c r="BG27" s="81"/>
      <c r="BH27" s="72">
        <f t="shared" si="37"/>
        <v>0</v>
      </c>
      <c r="BI27" s="81"/>
      <c r="BJ27" s="81"/>
      <c r="BK27" s="72">
        <f t="shared" si="38"/>
        <v>326.04000000000002</v>
      </c>
      <c r="BL27" s="300"/>
      <c r="BM27" s="81"/>
      <c r="BN27" s="72">
        <f t="shared" si="39"/>
        <v>0</v>
      </c>
      <c r="BO27" s="81"/>
      <c r="BP27" s="81"/>
      <c r="BQ27" s="72">
        <f t="shared" si="40"/>
        <v>315.19434628975262</v>
      </c>
      <c r="CD27" s="300"/>
      <c r="CE27" s="81"/>
      <c r="CF27" s="72">
        <f t="shared" si="41"/>
        <v>0</v>
      </c>
      <c r="CG27" s="81"/>
      <c r="CH27" s="81"/>
      <c r="CI27" s="72">
        <f t="shared" si="42"/>
        <v>15.6</v>
      </c>
      <c r="CJ27" s="301"/>
      <c r="CK27" s="66"/>
      <c r="CL27" s="72">
        <f t="shared" si="43"/>
        <v>0</v>
      </c>
      <c r="CM27" s="66"/>
      <c r="CN27" s="66"/>
      <c r="CO27" s="72">
        <f t="shared" si="44"/>
        <v>220</v>
      </c>
      <c r="CP27" s="301"/>
    </row>
    <row r="28" spans="1:94" x14ac:dyDescent="0.25">
      <c r="A28" s="17" t="s">
        <v>247</v>
      </c>
      <c r="B28" s="17" t="s">
        <v>99</v>
      </c>
      <c r="C28" s="17" t="s">
        <v>47</v>
      </c>
      <c r="D28" s="17" t="s">
        <v>48</v>
      </c>
      <c r="E28" s="17" t="s">
        <v>48</v>
      </c>
      <c r="F28" s="37" t="s">
        <v>508</v>
      </c>
      <c r="G28" t="s">
        <v>100</v>
      </c>
      <c r="H28" s="410">
        <f t="shared" si="17"/>
        <v>0</v>
      </c>
      <c r="I28" s="410">
        <f t="shared" si="17"/>
        <v>0</v>
      </c>
      <c r="J28" s="410">
        <f t="shared" si="17"/>
        <v>0</v>
      </c>
      <c r="K28" s="410">
        <f t="shared" si="17"/>
        <v>0</v>
      </c>
      <c r="L28" s="20">
        <v>0</v>
      </c>
      <c r="N28" s="206" t="s">
        <v>541</v>
      </c>
      <c r="P28" s="229"/>
      <c r="Q28" s="228">
        <f>INDEX('Apportionment Bases'!AU$6:AU$33,MATCH('PC24'!$N28,'Apportionment Bases'!$A$6:$A$33,0))</f>
        <v>0</v>
      </c>
      <c r="R28" s="229"/>
      <c r="S28" s="229"/>
      <c r="T28" s="228">
        <f>INDEX('Apportionment Bases'!AX$6:AX$33,MATCH('PC24'!$N28,'Apportionment Bases'!$A$6:$A$33,0))</f>
        <v>1</v>
      </c>
      <c r="V28" s="66"/>
      <c r="W28" s="72">
        <f t="shared" si="31"/>
        <v>0</v>
      </c>
      <c r="X28" s="66"/>
      <c r="Y28" s="66"/>
      <c r="Z28" s="72">
        <f t="shared" si="32"/>
        <v>0</v>
      </c>
      <c r="AA28" s="266" t="str">
        <f t="shared" si="19"/>
        <v>TRUE</v>
      </c>
      <c r="AH28" s="301"/>
      <c r="AO28" s="81"/>
      <c r="AP28" s="72">
        <f t="shared" si="33"/>
        <v>0</v>
      </c>
      <c r="AQ28" s="117"/>
      <c r="AR28" s="117"/>
      <c r="AS28" s="72">
        <f t="shared" si="34"/>
        <v>0</v>
      </c>
      <c r="AT28" s="300"/>
      <c r="AU28" s="81"/>
      <c r="AV28" s="72">
        <f t="shared" si="35"/>
        <v>0</v>
      </c>
      <c r="AW28" s="81"/>
      <c r="AX28" s="81"/>
      <c r="AY28" s="72">
        <f t="shared" si="36"/>
        <v>0</v>
      </c>
      <c r="AZ28" s="300"/>
      <c r="BG28" s="81"/>
      <c r="BH28" s="72">
        <f t="shared" si="37"/>
        <v>0</v>
      </c>
      <c r="BI28" s="81"/>
      <c r="BJ28" s="81"/>
      <c r="BK28" s="72">
        <f t="shared" si="38"/>
        <v>0</v>
      </c>
      <c r="BL28" s="300"/>
      <c r="BM28" s="81"/>
      <c r="BN28" s="72">
        <f t="shared" si="39"/>
        <v>0</v>
      </c>
      <c r="BO28" s="81"/>
      <c r="BP28" s="81"/>
      <c r="BQ28" s="72">
        <f t="shared" si="40"/>
        <v>0</v>
      </c>
      <c r="CD28" s="300"/>
      <c r="CE28" s="81"/>
      <c r="CF28" s="72">
        <f t="shared" si="41"/>
        <v>0</v>
      </c>
      <c r="CG28" s="81"/>
      <c r="CH28" s="81"/>
      <c r="CI28" s="72">
        <f t="shared" si="42"/>
        <v>0</v>
      </c>
      <c r="CJ28" s="301"/>
      <c r="CK28" s="66"/>
      <c r="CL28" s="72">
        <f t="shared" si="43"/>
        <v>0</v>
      </c>
      <c r="CM28" s="66"/>
      <c r="CN28" s="66"/>
      <c r="CO28" s="72">
        <f t="shared" si="44"/>
        <v>0</v>
      </c>
      <c r="CP28" s="301"/>
    </row>
    <row r="29" spans="1:94" x14ac:dyDescent="0.25">
      <c r="A29" s="17" t="s">
        <v>247</v>
      </c>
      <c r="B29" s="17" t="s">
        <v>99</v>
      </c>
      <c r="C29" s="17" t="s">
        <v>45</v>
      </c>
      <c r="D29" s="17" t="s">
        <v>48</v>
      </c>
      <c r="E29" s="17" t="s">
        <v>48</v>
      </c>
      <c r="F29" s="37" t="s">
        <v>509</v>
      </c>
      <c r="G29" t="s">
        <v>100</v>
      </c>
      <c r="H29" s="410">
        <f t="shared" si="17"/>
        <v>1341.5</v>
      </c>
      <c r="I29" s="410">
        <f t="shared" si="17"/>
        <v>1341.5</v>
      </c>
      <c r="J29" s="410">
        <f t="shared" si="17"/>
        <v>1341.5</v>
      </c>
      <c r="K29" s="410">
        <f t="shared" si="17"/>
        <v>1341.5</v>
      </c>
      <c r="L29" s="20">
        <v>5366</v>
      </c>
      <c r="N29" s="206" t="s">
        <v>541</v>
      </c>
      <c r="P29" s="229"/>
      <c r="Q29" s="228">
        <f>INDEX('Apportionment Bases'!AU$6:AU$33,MATCH('PC24'!$N29,'Apportionment Bases'!$A$6:$A$33,0))</f>
        <v>0</v>
      </c>
      <c r="R29" s="229"/>
      <c r="S29" s="229"/>
      <c r="T29" s="228">
        <f>INDEX('Apportionment Bases'!AX$6:AX$33,MATCH('PC24'!$N29,'Apportionment Bases'!$A$6:$A$33,0))</f>
        <v>1</v>
      </c>
      <c r="V29" s="66"/>
      <c r="W29" s="72">
        <f t="shared" si="31"/>
        <v>0</v>
      </c>
      <c r="X29" s="66"/>
      <c r="Y29" s="66"/>
      <c r="Z29" s="72">
        <f t="shared" si="32"/>
        <v>5366</v>
      </c>
      <c r="AA29" s="266" t="str">
        <f t="shared" si="19"/>
        <v>TRUE</v>
      </c>
      <c r="AH29" s="301"/>
      <c r="AO29" s="81"/>
      <c r="AP29" s="72">
        <f t="shared" si="33"/>
        <v>0</v>
      </c>
      <c r="AQ29" s="117"/>
      <c r="AR29" s="117"/>
      <c r="AS29" s="72">
        <f t="shared" si="34"/>
        <v>2352.8988489045942</v>
      </c>
      <c r="AT29" s="300"/>
      <c r="AU29" s="81"/>
      <c r="AV29" s="72">
        <f t="shared" si="35"/>
        <v>0</v>
      </c>
      <c r="AW29" s="81"/>
      <c r="AX29" s="81"/>
      <c r="AY29" s="72">
        <f t="shared" si="36"/>
        <v>660.55460000000005</v>
      </c>
      <c r="AZ29" s="300"/>
      <c r="BG29" s="81"/>
      <c r="BH29" s="72">
        <f t="shared" si="37"/>
        <v>0</v>
      </c>
      <c r="BI29" s="81"/>
      <c r="BJ29" s="81"/>
      <c r="BK29" s="72">
        <f t="shared" si="38"/>
        <v>874.76531999999997</v>
      </c>
      <c r="BL29" s="300"/>
      <c r="BM29" s="81"/>
      <c r="BN29" s="72">
        <f t="shared" si="39"/>
        <v>0</v>
      </c>
      <c r="BO29" s="81"/>
      <c r="BP29" s="81"/>
      <c r="BQ29" s="72">
        <f t="shared" si="40"/>
        <v>845.66643109540632</v>
      </c>
      <c r="CD29" s="300"/>
      <c r="CE29" s="81"/>
      <c r="CF29" s="72">
        <f t="shared" si="41"/>
        <v>0</v>
      </c>
      <c r="CG29" s="81"/>
      <c r="CH29" s="81"/>
      <c r="CI29" s="72">
        <f t="shared" si="42"/>
        <v>41.854799999999997</v>
      </c>
      <c r="CJ29" s="301"/>
      <c r="CK29" s="66"/>
      <c r="CL29" s="72">
        <f t="shared" si="43"/>
        <v>0</v>
      </c>
      <c r="CM29" s="66"/>
      <c r="CN29" s="66"/>
      <c r="CO29" s="72">
        <f t="shared" si="44"/>
        <v>590.26</v>
      </c>
      <c r="CP29" s="301"/>
    </row>
    <row r="30" spans="1:94" x14ac:dyDescent="0.25">
      <c r="A30" s="149" t="s">
        <v>247</v>
      </c>
      <c r="B30" s="149" t="s">
        <v>105</v>
      </c>
      <c r="C30" s="149" t="s">
        <v>45</v>
      </c>
      <c r="D30" s="149" t="s">
        <v>48</v>
      </c>
      <c r="E30" s="149" t="s">
        <v>48</v>
      </c>
      <c r="F30" s="150" t="s">
        <v>510</v>
      </c>
      <c r="G30" t="s">
        <v>106</v>
      </c>
      <c r="H30" s="151">
        <f t="shared" si="17"/>
        <v>250</v>
      </c>
      <c r="I30" s="151">
        <f t="shared" si="17"/>
        <v>250</v>
      </c>
      <c r="J30" s="151">
        <f t="shared" si="17"/>
        <v>250</v>
      </c>
      <c r="K30" s="151">
        <f t="shared" si="17"/>
        <v>250</v>
      </c>
      <c r="L30" s="712">
        <v>1000</v>
      </c>
      <c r="M30" s="46"/>
      <c r="N30" s="206" t="s">
        <v>541</v>
      </c>
      <c r="O30" s="46"/>
      <c r="P30" s="233"/>
      <c r="Q30" s="228">
        <f>INDEX('Apportionment Bases'!AU$6:AU$33,MATCH('PC24'!$N30,'Apportionment Bases'!$A$6:$A$33,0))</f>
        <v>0</v>
      </c>
      <c r="R30" s="229"/>
      <c r="S30" s="229"/>
      <c r="T30" s="228">
        <f>INDEX('Apportionment Bases'!AX$6:AX$33,MATCH('PC24'!$N30,'Apportionment Bases'!$A$6:$A$33,0))</f>
        <v>1</v>
      </c>
      <c r="V30" s="66"/>
      <c r="W30" s="72">
        <f t="shared" si="31"/>
        <v>0</v>
      </c>
      <c r="X30" s="66"/>
      <c r="Y30" s="66"/>
      <c r="Z30" s="72">
        <f t="shared" si="32"/>
        <v>1000</v>
      </c>
      <c r="AA30" s="266" t="str">
        <f t="shared" si="19"/>
        <v>TRUE</v>
      </c>
      <c r="AH30" s="301"/>
      <c r="AO30" s="81"/>
      <c r="AP30" s="72">
        <f t="shared" si="33"/>
        <v>0</v>
      </c>
      <c r="AQ30" s="117"/>
      <c r="AR30" s="117"/>
      <c r="AS30" s="72">
        <f t="shared" si="34"/>
        <v>438.48282685512373</v>
      </c>
      <c r="AT30" s="300"/>
      <c r="AU30" s="81"/>
      <c r="AV30" s="72">
        <f t="shared" si="35"/>
        <v>0</v>
      </c>
      <c r="AW30" s="81"/>
      <c r="AX30" s="81"/>
      <c r="AY30" s="72">
        <f t="shared" si="36"/>
        <v>123.1</v>
      </c>
      <c r="AZ30" s="300"/>
      <c r="BG30" s="81"/>
      <c r="BH30" s="72">
        <f t="shared" si="37"/>
        <v>0</v>
      </c>
      <c r="BI30" s="81"/>
      <c r="BJ30" s="81"/>
      <c r="BK30" s="72">
        <f t="shared" si="38"/>
        <v>163.02000000000001</v>
      </c>
      <c r="BL30" s="300"/>
      <c r="BM30" s="81"/>
      <c r="BN30" s="72">
        <f t="shared" si="39"/>
        <v>0</v>
      </c>
      <c r="BO30" s="81"/>
      <c r="BP30" s="81"/>
      <c r="BQ30" s="72">
        <f t="shared" si="40"/>
        <v>157.59717314487631</v>
      </c>
      <c r="CD30" s="300"/>
      <c r="CE30" s="81"/>
      <c r="CF30" s="72">
        <f t="shared" si="41"/>
        <v>0</v>
      </c>
      <c r="CG30" s="81"/>
      <c r="CH30" s="81"/>
      <c r="CI30" s="72">
        <f t="shared" si="42"/>
        <v>7.8</v>
      </c>
      <c r="CJ30" s="301"/>
      <c r="CK30" s="66"/>
      <c r="CL30" s="72">
        <f t="shared" si="43"/>
        <v>0</v>
      </c>
      <c r="CM30" s="66"/>
      <c r="CN30" s="66"/>
      <c r="CO30" s="72">
        <f t="shared" si="44"/>
        <v>110</v>
      </c>
      <c r="CP30" s="301"/>
    </row>
    <row r="31" spans="1:94" x14ac:dyDescent="0.25">
      <c r="A31" s="17" t="s">
        <v>247</v>
      </c>
      <c r="B31" s="17" t="s">
        <v>111</v>
      </c>
      <c r="C31" s="17" t="s">
        <v>45</v>
      </c>
      <c r="D31" s="17" t="s">
        <v>48</v>
      </c>
      <c r="E31" s="17" t="s">
        <v>48</v>
      </c>
      <c r="F31" s="37" t="s">
        <v>511</v>
      </c>
      <c r="G31" t="s">
        <v>112</v>
      </c>
      <c r="H31" s="410">
        <f t="shared" si="17"/>
        <v>621</v>
      </c>
      <c r="I31" s="410">
        <f t="shared" si="17"/>
        <v>621</v>
      </c>
      <c r="J31" s="410">
        <f t="shared" si="17"/>
        <v>621</v>
      </c>
      <c r="K31" s="410">
        <f t="shared" si="17"/>
        <v>621</v>
      </c>
      <c r="L31" s="20">
        <v>2484</v>
      </c>
      <c r="N31" s="206" t="s">
        <v>541</v>
      </c>
      <c r="P31" s="229"/>
      <c r="Q31" s="228">
        <f>INDEX('Apportionment Bases'!AU$6:AU$33,MATCH('PC24'!$N31,'Apportionment Bases'!$A$6:$A$33,0))</f>
        <v>0</v>
      </c>
      <c r="R31" s="229"/>
      <c r="S31" s="229"/>
      <c r="T31" s="228">
        <f>INDEX('Apportionment Bases'!AX$6:AX$33,MATCH('PC24'!$N31,'Apportionment Bases'!$A$6:$A$33,0))</f>
        <v>1</v>
      </c>
      <c r="V31" s="66"/>
      <c r="W31" s="72">
        <f t="shared" si="31"/>
        <v>0</v>
      </c>
      <c r="X31" s="66"/>
      <c r="Y31" s="66"/>
      <c r="Z31" s="72">
        <f t="shared" si="32"/>
        <v>2484</v>
      </c>
      <c r="AA31" s="266" t="str">
        <f t="shared" si="19"/>
        <v>TRUE</v>
      </c>
      <c r="AH31" s="301"/>
      <c r="AO31" s="81"/>
      <c r="AP31" s="72">
        <f t="shared" si="33"/>
        <v>0</v>
      </c>
      <c r="AQ31" s="117"/>
      <c r="AR31" s="117"/>
      <c r="AS31" s="72">
        <f t="shared" si="34"/>
        <v>1089.1913419081275</v>
      </c>
      <c r="AT31" s="300"/>
      <c r="AU31" s="81"/>
      <c r="AV31" s="72">
        <f t="shared" si="35"/>
        <v>0</v>
      </c>
      <c r="AW31" s="81"/>
      <c r="AX31" s="81"/>
      <c r="AY31" s="72">
        <f t="shared" si="36"/>
        <v>305.78039999999999</v>
      </c>
      <c r="AZ31" s="300"/>
      <c r="BG31" s="81"/>
      <c r="BH31" s="72">
        <f t="shared" si="37"/>
        <v>0</v>
      </c>
      <c r="BI31" s="81"/>
      <c r="BJ31" s="81"/>
      <c r="BK31" s="72">
        <f t="shared" si="38"/>
        <v>404.94168000000002</v>
      </c>
      <c r="BL31" s="300"/>
      <c r="BM31" s="81"/>
      <c r="BN31" s="72">
        <f t="shared" si="39"/>
        <v>0</v>
      </c>
      <c r="BO31" s="81"/>
      <c r="BP31" s="81"/>
      <c r="BQ31" s="72">
        <f t="shared" si="40"/>
        <v>391.47137809187274</v>
      </c>
      <c r="CD31" s="300"/>
      <c r="CE31" s="81"/>
      <c r="CF31" s="72">
        <f t="shared" si="41"/>
        <v>0</v>
      </c>
      <c r="CG31" s="81"/>
      <c r="CH31" s="81"/>
      <c r="CI31" s="72">
        <f t="shared" si="42"/>
        <v>19.3752</v>
      </c>
      <c r="CJ31" s="301"/>
      <c r="CK31" s="66"/>
      <c r="CL31" s="72">
        <f t="shared" si="43"/>
        <v>0</v>
      </c>
      <c r="CM31" s="66"/>
      <c r="CN31" s="66"/>
      <c r="CO31" s="72">
        <f t="shared" si="44"/>
        <v>273.24</v>
      </c>
      <c r="CP31" s="301"/>
    </row>
    <row r="32" spans="1:94" x14ac:dyDescent="0.25">
      <c r="A32" s="17" t="s">
        <v>247</v>
      </c>
      <c r="B32" s="17" t="s">
        <v>113</v>
      </c>
      <c r="C32" s="17" t="s">
        <v>45</v>
      </c>
      <c r="D32" s="17" t="s">
        <v>48</v>
      </c>
      <c r="E32" s="17" t="s">
        <v>48</v>
      </c>
      <c r="F32" s="37" t="s">
        <v>512</v>
      </c>
      <c r="G32" t="s">
        <v>212</v>
      </c>
      <c r="H32" s="410">
        <f t="shared" si="17"/>
        <v>0</v>
      </c>
      <c r="I32" s="410">
        <f t="shared" si="17"/>
        <v>0</v>
      </c>
      <c r="J32" s="410">
        <f t="shared" si="17"/>
        <v>0</v>
      </c>
      <c r="K32" s="410">
        <f t="shared" si="17"/>
        <v>0</v>
      </c>
      <c r="L32" s="20">
        <v>0</v>
      </c>
      <c r="N32" s="206" t="s">
        <v>541</v>
      </c>
      <c r="P32" s="229"/>
      <c r="Q32" s="228">
        <f>INDEX('Apportionment Bases'!AU$6:AU$33,MATCH('PC24'!$N32,'Apportionment Bases'!$A$6:$A$33,0))</f>
        <v>0</v>
      </c>
      <c r="R32" s="229"/>
      <c r="S32" s="229"/>
      <c r="T32" s="228">
        <f>INDEX('Apportionment Bases'!AX$6:AX$33,MATCH('PC24'!$N32,'Apportionment Bases'!$A$6:$A$33,0))</f>
        <v>1</v>
      </c>
      <c r="V32" s="66"/>
      <c r="W32" s="72">
        <f t="shared" si="31"/>
        <v>0</v>
      </c>
      <c r="X32" s="66"/>
      <c r="Y32" s="66"/>
      <c r="Z32" s="72">
        <f t="shared" si="32"/>
        <v>0</v>
      </c>
      <c r="AA32" s="266" t="str">
        <f t="shared" si="19"/>
        <v>TRUE</v>
      </c>
      <c r="AH32" s="301"/>
      <c r="AO32" s="81"/>
      <c r="AP32" s="72">
        <f t="shared" si="33"/>
        <v>0</v>
      </c>
      <c r="AQ32" s="117"/>
      <c r="AR32" s="117"/>
      <c r="AS32" s="72">
        <f t="shared" si="34"/>
        <v>0</v>
      </c>
      <c r="AT32" s="300"/>
      <c r="AU32" s="81"/>
      <c r="AV32" s="72">
        <f t="shared" si="35"/>
        <v>0</v>
      </c>
      <c r="AW32" s="81"/>
      <c r="AX32" s="81"/>
      <c r="AY32" s="72">
        <f t="shared" si="36"/>
        <v>0</v>
      </c>
      <c r="AZ32" s="300"/>
      <c r="BG32" s="81"/>
      <c r="BH32" s="72">
        <f t="shared" si="37"/>
        <v>0</v>
      </c>
      <c r="BI32" s="81"/>
      <c r="BJ32" s="81"/>
      <c r="BK32" s="72">
        <f t="shared" si="38"/>
        <v>0</v>
      </c>
      <c r="BL32" s="300"/>
      <c r="BM32" s="81"/>
      <c r="BN32" s="72">
        <f t="shared" si="39"/>
        <v>0</v>
      </c>
      <c r="BO32" s="81"/>
      <c r="BP32" s="81"/>
      <c r="BQ32" s="72">
        <f t="shared" si="40"/>
        <v>0</v>
      </c>
      <c r="CD32" s="300"/>
      <c r="CE32" s="81"/>
      <c r="CF32" s="72">
        <f t="shared" si="41"/>
        <v>0</v>
      </c>
      <c r="CG32" s="81"/>
      <c r="CH32" s="81"/>
      <c r="CI32" s="72">
        <f t="shared" si="42"/>
        <v>0</v>
      </c>
      <c r="CJ32" s="301"/>
      <c r="CK32" s="66"/>
      <c r="CL32" s="72">
        <f t="shared" si="43"/>
        <v>0</v>
      </c>
      <c r="CM32" s="66"/>
      <c r="CN32" s="66"/>
      <c r="CO32" s="72">
        <f t="shared" si="44"/>
        <v>0</v>
      </c>
      <c r="CP32" s="301"/>
    </row>
    <row r="33" spans="1:94" x14ac:dyDescent="0.25">
      <c r="A33" s="17" t="s">
        <v>247</v>
      </c>
      <c r="B33" s="17" t="s">
        <v>115</v>
      </c>
      <c r="C33" s="17" t="s">
        <v>45</v>
      </c>
      <c r="D33" s="17" t="s">
        <v>48</v>
      </c>
      <c r="E33" s="17" t="s">
        <v>48</v>
      </c>
      <c r="F33" s="37" t="s">
        <v>513</v>
      </c>
      <c r="G33" t="s">
        <v>116</v>
      </c>
      <c r="H33" s="410">
        <f t="shared" si="17"/>
        <v>4250</v>
      </c>
      <c r="I33" s="410">
        <f t="shared" si="17"/>
        <v>4250</v>
      </c>
      <c r="J33" s="410">
        <f t="shared" si="17"/>
        <v>4250</v>
      </c>
      <c r="K33" s="410">
        <f t="shared" si="17"/>
        <v>4250</v>
      </c>
      <c r="L33" s="20">
        <v>17000</v>
      </c>
      <c r="N33" s="206" t="s">
        <v>541</v>
      </c>
      <c r="P33" s="229"/>
      <c r="Q33" s="228">
        <f>INDEX('Apportionment Bases'!AU$6:AU$33,MATCH('PC24'!$N33,'Apportionment Bases'!$A$6:$A$33,0))</f>
        <v>0</v>
      </c>
      <c r="R33" s="229"/>
      <c r="S33" s="229"/>
      <c r="T33" s="228">
        <f>INDEX('Apportionment Bases'!AX$6:AX$33,MATCH('PC24'!$N33,'Apportionment Bases'!$A$6:$A$33,0))</f>
        <v>1</v>
      </c>
      <c r="V33" s="66"/>
      <c r="W33" s="72">
        <f t="shared" si="31"/>
        <v>0</v>
      </c>
      <c r="X33" s="66"/>
      <c r="Y33" s="66"/>
      <c r="Z33" s="72">
        <f t="shared" si="32"/>
        <v>17000</v>
      </c>
      <c r="AA33" s="266" t="str">
        <f t="shared" si="19"/>
        <v>TRUE</v>
      </c>
      <c r="AH33" s="301"/>
      <c r="AO33" s="81"/>
      <c r="AP33" s="72">
        <f t="shared" si="33"/>
        <v>0</v>
      </c>
      <c r="AQ33" s="117"/>
      <c r="AR33" s="117"/>
      <c r="AS33" s="72">
        <f t="shared" si="34"/>
        <v>7454.2080565371034</v>
      </c>
      <c r="AT33" s="300"/>
      <c r="AU33" s="81"/>
      <c r="AV33" s="72">
        <f t="shared" si="35"/>
        <v>0</v>
      </c>
      <c r="AW33" s="81"/>
      <c r="AX33" s="81"/>
      <c r="AY33" s="72">
        <f t="shared" si="36"/>
        <v>2092.6999999999998</v>
      </c>
      <c r="AZ33" s="300"/>
      <c r="BG33" s="81"/>
      <c r="BH33" s="72">
        <f t="shared" si="37"/>
        <v>0</v>
      </c>
      <c r="BI33" s="81"/>
      <c r="BJ33" s="81"/>
      <c r="BK33" s="72">
        <f t="shared" si="38"/>
        <v>2771.34</v>
      </c>
      <c r="BL33" s="300"/>
      <c r="BM33" s="81"/>
      <c r="BN33" s="72">
        <f t="shared" si="39"/>
        <v>0</v>
      </c>
      <c r="BO33" s="81"/>
      <c r="BP33" s="81"/>
      <c r="BQ33" s="72">
        <f t="shared" si="40"/>
        <v>2679.1519434628972</v>
      </c>
      <c r="CD33" s="300"/>
      <c r="CE33" s="81"/>
      <c r="CF33" s="72">
        <f t="shared" si="41"/>
        <v>0</v>
      </c>
      <c r="CG33" s="81"/>
      <c r="CH33" s="81"/>
      <c r="CI33" s="72">
        <f t="shared" si="42"/>
        <v>132.6</v>
      </c>
      <c r="CJ33" s="301"/>
      <c r="CK33" s="66"/>
      <c r="CL33" s="72">
        <f t="shared" si="43"/>
        <v>0</v>
      </c>
      <c r="CM33" s="66"/>
      <c r="CN33" s="66"/>
      <c r="CO33" s="72">
        <f t="shared" si="44"/>
        <v>1870</v>
      </c>
      <c r="CP33" s="301"/>
    </row>
    <row r="34" spans="1:94" x14ac:dyDescent="0.25">
      <c r="A34" s="149" t="s">
        <v>247</v>
      </c>
      <c r="B34" s="149" t="s">
        <v>119</v>
      </c>
      <c r="C34" s="149" t="s">
        <v>45</v>
      </c>
      <c r="D34" s="149" t="s">
        <v>48</v>
      </c>
      <c r="E34" s="149" t="s">
        <v>48</v>
      </c>
      <c r="F34" s="150" t="s">
        <v>514</v>
      </c>
      <c r="G34" t="s">
        <v>120</v>
      </c>
      <c r="H34" s="151">
        <f t="shared" si="17"/>
        <v>32998</v>
      </c>
      <c r="I34" s="151">
        <f t="shared" si="17"/>
        <v>32998</v>
      </c>
      <c r="J34" s="151">
        <f t="shared" si="17"/>
        <v>32998</v>
      </c>
      <c r="K34" s="151">
        <f t="shared" si="17"/>
        <v>32998</v>
      </c>
      <c r="L34" s="712">
        <v>131992</v>
      </c>
      <c r="M34" s="46"/>
      <c r="N34" s="206" t="s">
        <v>542</v>
      </c>
      <c r="O34" s="46"/>
      <c r="P34" s="233"/>
      <c r="Q34" s="228">
        <f>INDEX('Apportionment Bases'!AU$6:AU$33,MATCH('PC24'!$N34,'Apportionment Bases'!$A$6:$A$33,0))</f>
        <v>1</v>
      </c>
      <c r="R34" s="229"/>
      <c r="S34" s="229"/>
      <c r="T34" s="228">
        <f>INDEX('Apportionment Bases'!AX$6:AX$33,MATCH('PC24'!$N34,'Apportionment Bases'!$A$6:$A$33,0))</f>
        <v>0</v>
      </c>
      <c r="V34" s="66"/>
      <c r="W34" s="72">
        <f t="shared" si="31"/>
        <v>131992</v>
      </c>
      <c r="X34" s="66"/>
      <c r="Y34" s="66"/>
      <c r="Z34" s="72">
        <f t="shared" si="32"/>
        <v>0</v>
      </c>
      <c r="AA34" s="266" t="str">
        <f t="shared" si="19"/>
        <v>TRUE</v>
      </c>
      <c r="AH34" s="301"/>
      <c r="AO34" s="81"/>
      <c r="AP34" s="72">
        <f t="shared" si="33"/>
        <v>36175.305277221109</v>
      </c>
      <c r="AQ34" s="117"/>
      <c r="AR34" s="117"/>
      <c r="AS34" s="72">
        <f t="shared" si="34"/>
        <v>0</v>
      </c>
      <c r="AT34" s="300"/>
      <c r="AU34" s="81"/>
      <c r="AV34" s="72">
        <f t="shared" si="35"/>
        <v>8552.5878423513695</v>
      </c>
      <c r="AW34" s="81"/>
      <c r="AX34" s="81"/>
      <c r="AY34" s="72">
        <f t="shared" si="36"/>
        <v>0</v>
      </c>
      <c r="AZ34" s="300"/>
      <c r="BG34" s="81"/>
      <c r="BH34" s="72">
        <f t="shared" si="37"/>
        <v>32711.444221776888</v>
      </c>
      <c r="BI34" s="81"/>
      <c r="BJ34" s="81"/>
      <c r="BK34" s="72">
        <f t="shared" si="38"/>
        <v>0</v>
      </c>
      <c r="BL34" s="300"/>
      <c r="BM34" s="81"/>
      <c r="BN34" s="72">
        <f t="shared" si="39"/>
        <v>32169.822311289245</v>
      </c>
      <c r="BO34" s="81"/>
      <c r="BP34" s="81"/>
      <c r="BQ34" s="72">
        <f t="shared" si="40"/>
        <v>0</v>
      </c>
      <c r="CD34" s="300"/>
      <c r="CE34" s="81"/>
      <c r="CF34" s="72">
        <f t="shared" si="41"/>
        <v>629.79291917167677</v>
      </c>
      <c r="CG34" s="81"/>
      <c r="CH34" s="81"/>
      <c r="CI34" s="72">
        <f t="shared" si="42"/>
        <v>0</v>
      </c>
      <c r="CJ34" s="301"/>
      <c r="CK34" s="66"/>
      <c r="CL34" s="72">
        <f t="shared" si="43"/>
        <v>21753.047428189715</v>
      </c>
      <c r="CM34" s="66"/>
      <c r="CN34" s="66"/>
      <c r="CO34" s="72">
        <f t="shared" si="44"/>
        <v>0</v>
      </c>
      <c r="CP34" s="301"/>
    </row>
    <row r="35" spans="1:94" x14ac:dyDescent="0.25">
      <c r="A35" s="17" t="s">
        <v>247</v>
      </c>
      <c r="B35" s="17" t="s">
        <v>216</v>
      </c>
      <c r="C35" s="17" t="s">
        <v>45</v>
      </c>
      <c r="D35" s="17" t="s">
        <v>48</v>
      </c>
      <c r="E35" s="17" t="s">
        <v>48</v>
      </c>
      <c r="F35" s="37" t="s">
        <v>515</v>
      </c>
      <c r="G35" t="s">
        <v>24</v>
      </c>
      <c r="H35" s="410">
        <f t="shared" si="17"/>
        <v>5500</v>
      </c>
      <c r="I35" s="410">
        <f t="shared" si="17"/>
        <v>5500</v>
      </c>
      <c r="J35" s="410">
        <f t="shared" si="17"/>
        <v>5500</v>
      </c>
      <c r="K35" s="410">
        <f t="shared" si="17"/>
        <v>5500</v>
      </c>
      <c r="L35" s="20">
        <v>22000</v>
      </c>
      <c r="N35" s="206" t="s">
        <v>541</v>
      </c>
      <c r="P35" s="229"/>
      <c r="Q35" s="228">
        <f>INDEX('Apportionment Bases'!AU$6:AU$33,MATCH('PC24'!$N35,'Apportionment Bases'!$A$6:$A$33,0))</f>
        <v>0</v>
      </c>
      <c r="R35" s="229"/>
      <c r="S35" s="229"/>
      <c r="T35" s="228">
        <f>INDEX('Apportionment Bases'!AX$6:AX$33,MATCH('PC24'!$N35,'Apportionment Bases'!$A$6:$A$33,0))</f>
        <v>1</v>
      </c>
      <c r="V35" s="66"/>
      <c r="W35" s="72">
        <f t="shared" si="31"/>
        <v>0</v>
      </c>
      <c r="X35" s="66"/>
      <c r="Y35" s="66"/>
      <c r="Z35" s="72">
        <f t="shared" si="32"/>
        <v>22000</v>
      </c>
      <c r="AA35" s="266" t="str">
        <f t="shared" si="19"/>
        <v>TRUE</v>
      </c>
      <c r="AH35" s="301"/>
      <c r="AO35" s="81"/>
      <c r="AP35" s="72">
        <f t="shared" si="33"/>
        <v>0</v>
      </c>
      <c r="AQ35" s="117"/>
      <c r="AR35" s="117"/>
      <c r="AS35" s="72">
        <f t="shared" si="34"/>
        <v>9646.6221908127227</v>
      </c>
      <c r="AT35" s="300"/>
      <c r="AU35" s="81"/>
      <c r="AV35" s="72">
        <f t="shared" si="35"/>
        <v>0</v>
      </c>
      <c r="AW35" s="81"/>
      <c r="AX35" s="81"/>
      <c r="AY35" s="72">
        <f t="shared" si="36"/>
        <v>2708.2</v>
      </c>
      <c r="AZ35" s="300"/>
      <c r="BG35" s="81"/>
      <c r="BH35" s="72">
        <f t="shared" si="37"/>
        <v>0</v>
      </c>
      <c r="BI35" s="81"/>
      <c r="BJ35" s="81"/>
      <c r="BK35" s="72">
        <f t="shared" si="38"/>
        <v>3586.44</v>
      </c>
      <c r="BL35" s="300"/>
      <c r="BM35" s="81"/>
      <c r="BN35" s="72">
        <f t="shared" si="39"/>
        <v>0</v>
      </c>
      <c r="BO35" s="81"/>
      <c r="BP35" s="81"/>
      <c r="BQ35" s="72">
        <f t="shared" si="40"/>
        <v>3467.1378091872789</v>
      </c>
      <c r="CD35" s="300"/>
      <c r="CE35" s="81"/>
      <c r="CF35" s="72">
        <f t="shared" si="41"/>
        <v>0</v>
      </c>
      <c r="CG35" s="81"/>
      <c r="CH35" s="81"/>
      <c r="CI35" s="72">
        <f t="shared" si="42"/>
        <v>171.6</v>
      </c>
      <c r="CJ35" s="301"/>
      <c r="CK35" s="66"/>
      <c r="CL35" s="72">
        <f t="shared" si="43"/>
        <v>0</v>
      </c>
      <c r="CM35" s="66"/>
      <c r="CN35" s="66"/>
      <c r="CO35" s="72">
        <f t="shared" si="44"/>
        <v>2420</v>
      </c>
      <c r="CP35" s="301"/>
    </row>
    <row r="36" spans="1:94" x14ac:dyDescent="0.25">
      <c r="A36" s="17" t="s">
        <v>247</v>
      </c>
      <c r="B36" s="17" t="s">
        <v>218</v>
      </c>
      <c r="C36" s="17" t="s">
        <v>45</v>
      </c>
      <c r="D36" s="17" t="s">
        <v>48</v>
      </c>
      <c r="E36" s="17" t="s">
        <v>48</v>
      </c>
      <c r="F36" s="37" t="s">
        <v>516</v>
      </c>
      <c r="G36" t="s">
        <v>25</v>
      </c>
      <c r="H36" s="410">
        <f t="shared" ref="H36:K43" si="45">$L36/4</f>
        <v>0</v>
      </c>
      <c r="I36" s="410">
        <f t="shared" si="45"/>
        <v>0</v>
      </c>
      <c r="J36" s="410">
        <f t="shared" si="45"/>
        <v>0</v>
      </c>
      <c r="K36" s="410">
        <f t="shared" si="45"/>
        <v>0</v>
      </c>
      <c r="L36" s="20">
        <v>0</v>
      </c>
      <c r="N36" s="206" t="s">
        <v>541</v>
      </c>
      <c r="P36" s="229"/>
      <c r="Q36" s="228">
        <f>INDEX('Apportionment Bases'!AU$6:AU$33,MATCH('PC24'!$N36,'Apportionment Bases'!$A$6:$A$33,0))</f>
        <v>0</v>
      </c>
      <c r="R36" s="229"/>
      <c r="S36" s="229"/>
      <c r="T36" s="228">
        <f>INDEX('Apportionment Bases'!AX$6:AX$33,MATCH('PC24'!$N36,'Apportionment Bases'!$A$6:$A$33,0))</f>
        <v>1</v>
      </c>
      <c r="V36" s="66"/>
      <c r="W36" s="72">
        <f t="shared" si="31"/>
        <v>0</v>
      </c>
      <c r="X36" s="66"/>
      <c r="Y36" s="66"/>
      <c r="Z36" s="72">
        <f t="shared" si="32"/>
        <v>0</v>
      </c>
      <c r="AA36" s="266" t="str">
        <f t="shared" si="19"/>
        <v>TRUE</v>
      </c>
      <c r="AH36" s="301"/>
      <c r="AO36" s="81"/>
      <c r="AP36" s="72">
        <f t="shared" si="33"/>
        <v>0</v>
      </c>
      <c r="AQ36" s="117"/>
      <c r="AR36" s="117"/>
      <c r="AS36" s="72">
        <f t="shared" si="34"/>
        <v>0</v>
      </c>
      <c r="AT36" s="300"/>
      <c r="AU36" s="81"/>
      <c r="AV36" s="72">
        <f t="shared" si="35"/>
        <v>0</v>
      </c>
      <c r="AW36" s="81"/>
      <c r="AX36" s="81"/>
      <c r="AY36" s="72">
        <f t="shared" si="36"/>
        <v>0</v>
      </c>
      <c r="AZ36" s="300"/>
      <c r="BG36" s="81"/>
      <c r="BH36" s="72">
        <f t="shared" si="37"/>
        <v>0</v>
      </c>
      <c r="BI36" s="81"/>
      <c r="BJ36" s="81"/>
      <c r="BK36" s="72">
        <f t="shared" si="38"/>
        <v>0</v>
      </c>
      <c r="BL36" s="300"/>
      <c r="BM36" s="81"/>
      <c r="BN36" s="72">
        <f t="shared" si="39"/>
        <v>0</v>
      </c>
      <c r="BO36" s="81"/>
      <c r="BP36" s="81"/>
      <c r="BQ36" s="72">
        <f t="shared" si="40"/>
        <v>0</v>
      </c>
      <c r="CD36" s="300"/>
      <c r="CE36" s="81"/>
      <c r="CF36" s="72">
        <f t="shared" si="41"/>
        <v>0</v>
      </c>
      <c r="CG36" s="81"/>
      <c r="CH36" s="81"/>
      <c r="CI36" s="72">
        <f t="shared" si="42"/>
        <v>0</v>
      </c>
      <c r="CJ36" s="301"/>
      <c r="CK36" s="66"/>
      <c r="CL36" s="72">
        <f t="shared" si="43"/>
        <v>0</v>
      </c>
      <c r="CM36" s="66"/>
      <c r="CN36" s="66"/>
      <c r="CO36" s="72">
        <f t="shared" si="44"/>
        <v>0</v>
      </c>
      <c r="CP36" s="301"/>
    </row>
    <row r="37" spans="1:94" x14ac:dyDescent="0.25">
      <c r="A37" s="17" t="s">
        <v>247</v>
      </c>
      <c r="B37" s="17" t="s">
        <v>220</v>
      </c>
      <c r="C37" s="17" t="s">
        <v>45</v>
      </c>
      <c r="D37" s="17" t="s">
        <v>48</v>
      </c>
      <c r="E37" s="17" t="s">
        <v>48</v>
      </c>
      <c r="F37" s="37" t="s">
        <v>517</v>
      </c>
      <c r="G37" t="s">
        <v>26</v>
      </c>
      <c r="H37" s="410">
        <f t="shared" si="45"/>
        <v>7500</v>
      </c>
      <c r="I37" s="410">
        <f t="shared" si="45"/>
        <v>7500</v>
      </c>
      <c r="J37" s="410">
        <f t="shared" si="45"/>
        <v>7500</v>
      </c>
      <c r="K37" s="410">
        <f t="shared" si="45"/>
        <v>7500</v>
      </c>
      <c r="L37" s="20">
        <v>30000</v>
      </c>
      <c r="N37" s="206" t="s">
        <v>541</v>
      </c>
      <c r="P37" s="229"/>
      <c r="Q37" s="228">
        <f>INDEX('Apportionment Bases'!AU$6:AU$33,MATCH('PC24'!$N37,'Apportionment Bases'!$A$6:$A$33,0))</f>
        <v>0</v>
      </c>
      <c r="R37" s="229"/>
      <c r="S37" s="229"/>
      <c r="T37" s="228">
        <f>INDEX('Apportionment Bases'!AX$6:AX$33,MATCH('PC24'!$N37,'Apportionment Bases'!$A$6:$A$33,0))</f>
        <v>1</v>
      </c>
      <c r="V37" s="66"/>
      <c r="W37" s="72">
        <f t="shared" si="31"/>
        <v>0</v>
      </c>
      <c r="X37" s="66"/>
      <c r="Y37" s="66"/>
      <c r="Z37" s="72">
        <f t="shared" si="32"/>
        <v>30000</v>
      </c>
      <c r="AA37" s="266" t="str">
        <f t="shared" si="19"/>
        <v>TRUE</v>
      </c>
      <c r="AH37" s="301"/>
      <c r="AO37" s="81"/>
      <c r="AP37" s="72">
        <f t="shared" si="33"/>
        <v>0</v>
      </c>
      <c r="AQ37" s="117"/>
      <c r="AR37" s="117"/>
      <c r="AS37" s="72">
        <f t="shared" si="34"/>
        <v>13154.484805653712</v>
      </c>
      <c r="AT37" s="300"/>
      <c r="AU37" s="81"/>
      <c r="AV37" s="72">
        <f t="shared" si="35"/>
        <v>0</v>
      </c>
      <c r="AW37" s="81"/>
      <c r="AX37" s="81"/>
      <c r="AY37" s="72">
        <f t="shared" si="36"/>
        <v>3693</v>
      </c>
      <c r="AZ37" s="300"/>
      <c r="BG37" s="81"/>
      <c r="BH37" s="72">
        <f t="shared" si="37"/>
        <v>0</v>
      </c>
      <c r="BI37" s="81"/>
      <c r="BJ37" s="81"/>
      <c r="BK37" s="72">
        <f t="shared" si="38"/>
        <v>4890.6000000000004</v>
      </c>
      <c r="BL37" s="300"/>
      <c r="BM37" s="81"/>
      <c r="BN37" s="72">
        <f t="shared" si="39"/>
        <v>0</v>
      </c>
      <c r="BO37" s="81"/>
      <c r="BP37" s="81"/>
      <c r="BQ37" s="72">
        <f t="shared" si="40"/>
        <v>4727.9151943462894</v>
      </c>
      <c r="CD37" s="300"/>
      <c r="CE37" s="81"/>
      <c r="CF37" s="72">
        <f t="shared" si="41"/>
        <v>0</v>
      </c>
      <c r="CG37" s="81"/>
      <c r="CH37" s="81"/>
      <c r="CI37" s="72">
        <f t="shared" si="42"/>
        <v>234</v>
      </c>
      <c r="CJ37" s="301"/>
      <c r="CK37" s="66"/>
      <c r="CL37" s="72">
        <f t="shared" si="43"/>
        <v>0</v>
      </c>
      <c r="CM37" s="66"/>
      <c r="CN37" s="66"/>
      <c r="CO37" s="72">
        <f t="shared" si="44"/>
        <v>3300</v>
      </c>
      <c r="CP37" s="301"/>
    </row>
    <row r="38" spans="1:94" x14ac:dyDescent="0.25">
      <c r="A38" s="149" t="s">
        <v>247</v>
      </c>
      <c r="B38" s="149" t="s">
        <v>139</v>
      </c>
      <c r="C38" s="149" t="s">
        <v>47</v>
      </c>
      <c r="D38" s="149" t="s">
        <v>48</v>
      </c>
      <c r="E38" s="149" t="s">
        <v>48</v>
      </c>
      <c r="F38" s="150" t="s">
        <v>518</v>
      </c>
      <c r="G38" t="s">
        <v>244</v>
      </c>
      <c r="H38" s="151">
        <f t="shared" si="45"/>
        <v>250</v>
      </c>
      <c r="I38" s="151">
        <f t="shared" si="45"/>
        <v>250</v>
      </c>
      <c r="J38" s="151">
        <f t="shared" si="45"/>
        <v>250</v>
      </c>
      <c r="K38" s="151">
        <f t="shared" si="45"/>
        <v>250</v>
      </c>
      <c r="L38" s="712">
        <v>1000</v>
      </c>
      <c r="M38" s="46"/>
      <c r="N38" s="206" t="s">
        <v>541</v>
      </c>
      <c r="O38" s="46"/>
      <c r="P38" s="233"/>
      <c r="Q38" s="228">
        <f>INDEX('Apportionment Bases'!AU$6:AU$33,MATCH('PC24'!$N38,'Apportionment Bases'!$A$6:$A$33,0))</f>
        <v>0</v>
      </c>
      <c r="R38" s="229"/>
      <c r="S38" s="229"/>
      <c r="T38" s="228">
        <f>INDEX('Apportionment Bases'!AX$6:AX$33,MATCH('PC24'!$N38,'Apportionment Bases'!$A$6:$A$33,0))</f>
        <v>1</v>
      </c>
      <c r="V38" s="66"/>
      <c r="W38" s="72">
        <f t="shared" si="31"/>
        <v>0</v>
      </c>
      <c r="X38" s="66"/>
      <c r="Y38" s="66"/>
      <c r="Z38" s="72">
        <f t="shared" si="32"/>
        <v>1000</v>
      </c>
      <c r="AA38" s="266" t="str">
        <f t="shared" si="19"/>
        <v>TRUE</v>
      </c>
      <c r="AH38" s="301"/>
      <c r="AO38" s="81"/>
      <c r="AP38" s="72">
        <f t="shared" si="33"/>
        <v>0</v>
      </c>
      <c r="AQ38" s="117"/>
      <c r="AR38" s="117"/>
      <c r="AS38" s="72">
        <f t="shared" si="34"/>
        <v>438.48282685512373</v>
      </c>
      <c r="AT38" s="300"/>
      <c r="AU38" s="81"/>
      <c r="AV38" s="72">
        <f t="shared" si="35"/>
        <v>0</v>
      </c>
      <c r="AW38" s="81"/>
      <c r="AX38" s="81"/>
      <c r="AY38" s="72">
        <f t="shared" si="36"/>
        <v>123.1</v>
      </c>
      <c r="AZ38" s="300"/>
      <c r="BG38" s="81"/>
      <c r="BH38" s="72">
        <f t="shared" si="37"/>
        <v>0</v>
      </c>
      <c r="BI38" s="81"/>
      <c r="BJ38" s="81"/>
      <c r="BK38" s="72">
        <f t="shared" si="38"/>
        <v>163.02000000000001</v>
      </c>
      <c r="BL38" s="300"/>
      <c r="BM38" s="81"/>
      <c r="BN38" s="72">
        <f t="shared" si="39"/>
        <v>0</v>
      </c>
      <c r="BO38" s="81"/>
      <c r="BP38" s="81"/>
      <c r="BQ38" s="72">
        <f t="shared" si="40"/>
        <v>157.59717314487631</v>
      </c>
      <c r="CD38" s="300"/>
      <c r="CE38" s="81"/>
      <c r="CF38" s="72">
        <f t="shared" si="41"/>
        <v>0</v>
      </c>
      <c r="CG38" s="81"/>
      <c r="CH38" s="81"/>
      <c r="CI38" s="72">
        <f t="shared" si="42"/>
        <v>7.8</v>
      </c>
      <c r="CJ38" s="301"/>
      <c r="CK38" s="66"/>
      <c r="CL38" s="72">
        <f t="shared" si="43"/>
        <v>0</v>
      </c>
      <c r="CM38" s="66"/>
      <c r="CN38" s="66"/>
      <c r="CO38" s="72">
        <f t="shared" si="44"/>
        <v>110</v>
      </c>
      <c r="CP38" s="301"/>
    </row>
    <row r="39" spans="1:94" x14ac:dyDescent="0.25">
      <c r="A39" s="3" t="s">
        <v>247</v>
      </c>
      <c r="B39" s="3" t="s">
        <v>224</v>
      </c>
      <c r="C39" s="3" t="s">
        <v>45</v>
      </c>
      <c r="D39" s="3" t="s">
        <v>48</v>
      </c>
      <c r="E39" s="3" t="s">
        <v>48</v>
      </c>
      <c r="F39" t="s">
        <v>519</v>
      </c>
      <c r="G39" t="s">
        <v>495</v>
      </c>
      <c r="H39" s="67">
        <f t="shared" si="45"/>
        <v>8750</v>
      </c>
      <c r="I39" s="67">
        <f t="shared" si="45"/>
        <v>8750</v>
      </c>
      <c r="J39" s="67">
        <f t="shared" si="45"/>
        <v>8750</v>
      </c>
      <c r="K39" s="67">
        <f t="shared" si="45"/>
        <v>8750</v>
      </c>
      <c r="L39" s="705">
        <v>35000</v>
      </c>
      <c r="N39" s="206" t="s">
        <v>541</v>
      </c>
      <c r="P39" s="229"/>
      <c r="Q39" s="228">
        <f>INDEX('Apportionment Bases'!AU$6:AU$33,MATCH('PC24'!$N39,'Apportionment Bases'!$A$6:$A$33,0))</f>
        <v>0</v>
      </c>
      <c r="R39" s="229"/>
      <c r="S39" s="229"/>
      <c r="T39" s="228">
        <f>INDEX('Apportionment Bases'!AX$6:AX$33,MATCH('PC24'!$N39,'Apportionment Bases'!$A$6:$A$33,0))</f>
        <v>1</v>
      </c>
      <c r="V39" s="66"/>
      <c r="W39" s="72">
        <f t="shared" si="31"/>
        <v>0</v>
      </c>
      <c r="X39" s="66"/>
      <c r="Y39" s="66"/>
      <c r="Z39" s="72">
        <f t="shared" si="32"/>
        <v>35000</v>
      </c>
      <c r="AA39" s="266" t="str">
        <f t="shared" si="19"/>
        <v>TRUE</v>
      </c>
      <c r="AH39" s="301"/>
      <c r="AO39" s="81"/>
      <c r="AP39" s="72">
        <f t="shared" si="33"/>
        <v>0</v>
      </c>
      <c r="AQ39" s="117"/>
      <c r="AR39" s="117"/>
      <c r="AS39" s="72">
        <f t="shared" si="34"/>
        <v>15346.898939929331</v>
      </c>
      <c r="AT39" s="300"/>
      <c r="AU39" s="81"/>
      <c r="AV39" s="72">
        <f t="shared" si="35"/>
        <v>0</v>
      </c>
      <c r="AW39" s="81"/>
      <c r="AX39" s="81"/>
      <c r="AY39" s="72">
        <f t="shared" si="36"/>
        <v>4308.5</v>
      </c>
      <c r="AZ39" s="300"/>
      <c r="BG39" s="81"/>
      <c r="BH39" s="72">
        <f t="shared" si="37"/>
        <v>0</v>
      </c>
      <c r="BI39" s="81"/>
      <c r="BJ39" s="81"/>
      <c r="BK39" s="72">
        <f t="shared" si="38"/>
        <v>5705.7</v>
      </c>
      <c r="BL39" s="300"/>
      <c r="BM39" s="81"/>
      <c r="BN39" s="72">
        <f t="shared" si="39"/>
        <v>0</v>
      </c>
      <c r="BO39" s="81"/>
      <c r="BP39" s="81"/>
      <c r="BQ39" s="72">
        <f t="shared" si="40"/>
        <v>5515.9010600706706</v>
      </c>
      <c r="CD39" s="300"/>
      <c r="CE39" s="81"/>
      <c r="CF39" s="72">
        <f t="shared" si="41"/>
        <v>0</v>
      </c>
      <c r="CG39" s="81"/>
      <c r="CH39" s="81"/>
      <c r="CI39" s="72">
        <f t="shared" si="42"/>
        <v>273</v>
      </c>
      <c r="CJ39" s="301"/>
      <c r="CK39" s="66"/>
      <c r="CL39" s="72">
        <f t="shared" si="43"/>
        <v>0</v>
      </c>
      <c r="CM39" s="66"/>
      <c r="CN39" s="66"/>
      <c r="CO39" s="72">
        <f t="shared" si="44"/>
        <v>3850</v>
      </c>
      <c r="CP39" s="301"/>
    </row>
    <row r="40" spans="1:94" x14ac:dyDescent="0.25">
      <c r="A40" s="3" t="s">
        <v>247</v>
      </c>
      <c r="B40" s="3" t="s">
        <v>226</v>
      </c>
      <c r="C40" s="3" t="s">
        <v>45</v>
      </c>
      <c r="D40" s="3" t="s">
        <v>48</v>
      </c>
      <c r="E40" s="3" t="s">
        <v>48</v>
      </c>
      <c r="F40" t="s">
        <v>520</v>
      </c>
      <c r="G40" t="s">
        <v>227</v>
      </c>
      <c r="H40" s="67">
        <f t="shared" si="45"/>
        <v>0</v>
      </c>
      <c r="I40" s="67">
        <f t="shared" si="45"/>
        <v>0</v>
      </c>
      <c r="J40" s="67">
        <f t="shared" si="45"/>
        <v>0</v>
      </c>
      <c r="K40" s="67">
        <f t="shared" si="45"/>
        <v>0</v>
      </c>
      <c r="L40" s="705">
        <v>0</v>
      </c>
      <c r="N40" s="206" t="s">
        <v>541</v>
      </c>
      <c r="P40" s="229"/>
      <c r="Q40" s="228">
        <f>INDEX('Apportionment Bases'!AU$6:AU$33,MATCH('PC24'!$N40,'Apportionment Bases'!$A$6:$A$33,0))</f>
        <v>0</v>
      </c>
      <c r="R40" s="229"/>
      <c r="S40" s="229"/>
      <c r="T40" s="228">
        <f>INDEX('Apportionment Bases'!AX$6:AX$33,MATCH('PC24'!$N40,'Apportionment Bases'!$A$6:$A$33,0))</f>
        <v>1</v>
      </c>
      <c r="V40" s="66"/>
      <c r="W40" s="72">
        <f t="shared" si="31"/>
        <v>0</v>
      </c>
      <c r="X40" s="66"/>
      <c r="Y40" s="66"/>
      <c r="Z40" s="72">
        <f t="shared" si="32"/>
        <v>0</v>
      </c>
      <c r="AA40" s="266" t="str">
        <f t="shared" si="19"/>
        <v>TRUE</v>
      </c>
      <c r="AH40" s="301"/>
      <c r="AO40" s="81"/>
      <c r="AP40" s="72">
        <f t="shared" si="33"/>
        <v>0</v>
      </c>
      <c r="AQ40" s="117"/>
      <c r="AR40" s="117"/>
      <c r="AS40" s="72">
        <f t="shared" si="34"/>
        <v>0</v>
      </c>
      <c r="AT40" s="300"/>
      <c r="AU40" s="81"/>
      <c r="AV40" s="72">
        <f t="shared" si="35"/>
        <v>0</v>
      </c>
      <c r="AW40" s="81"/>
      <c r="AX40" s="81"/>
      <c r="AY40" s="72">
        <f t="shared" si="36"/>
        <v>0</v>
      </c>
      <c r="AZ40" s="300"/>
      <c r="BG40" s="81"/>
      <c r="BH40" s="72">
        <f t="shared" si="37"/>
        <v>0</v>
      </c>
      <c r="BI40" s="81"/>
      <c r="BJ40" s="81"/>
      <c r="BK40" s="72">
        <f t="shared" si="38"/>
        <v>0</v>
      </c>
      <c r="BL40" s="300"/>
      <c r="BM40" s="81"/>
      <c r="BN40" s="72">
        <f t="shared" si="39"/>
        <v>0</v>
      </c>
      <c r="BO40" s="81"/>
      <c r="BP40" s="81"/>
      <c r="BQ40" s="72">
        <f t="shared" si="40"/>
        <v>0</v>
      </c>
      <c r="CD40" s="300"/>
      <c r="CE40" s="81"/>
      <c r="CF40" s="72">
        <f t="shared" si="41"/>
        <v>0</v>
      </c>
      <c r="CG40" s="81"/>
      <c r="CH40" s="81"/>
      <c r="CI40" s="72">
        <f t="shared" si="42"/>
        <v>0</v>
      </c>
      <c r="CJ40" s="301"/>
      <c r="CK40" s="66"/>
      <c r="CL40" s="72">
        <f t="shared" si="43"/>
        <v>0</v>
      </c>
      <c r="CM40" s="66"/>
      <c r="CN40" s="66"/>
      <c r="CO40" s="72">
        <f t="shared" si="44"/>
        <v>0</v>
      </c>
      <c r="CP40" s="301"/>
    </row>
    <row r="41" spans="1:94" x14ac:dyDescent="0.25">
      <c r="A41" s="3" t="s">
        <v>247</v>
      </c>
      <c r="B41" s="3" t="s">
        <v>157</v>
      </c>
      <c r="C41" s="3" t="s">
        <v>47</v>
      </c>
      <c r="D41" s="3" t="s">
        <v>48</v>
      </c>
      <c r="E41" s="3" t="s">
        <v>48</v>
      </c>
      <c r="F41" t="s">
        <v>559</v>
      </c>
      <c r="G41" s="47" t="s">
        <v>560</v>
      </c>
      <c r="H41" s="67">
        <f t="shared" si="45"/>
        <v>0</v>
      </c>
      <c r="I41" s="67">
        <f t="shared" si="45"/>
        <v>0</v>
      </c>
      <c r="J41" s="67">
        <f t="shared" si="45"/>
        <v>0</v>
      </c>
      <c r="K41" s="67">
        <f t="shared" si="45"/>
        <v>0</v>
      </c>
      <c r="L41" s="705">
        <v>0</v>
      </c>
      <c r="N41" s="206" t="s">
        <v>541</v>
      </c>
      <c r="P41" s="229"/>
      <c r="Q41" s="228">
        <f>INDEX('Apportionment Bases'!AU$6:AU$33,MATCH('PC24'!$N41,'Apportionment Bases'!$A$6:$A$33,0))</f>
        <v>0</v>
      </c>
      <c r="R41" s="229"/>
      <c r="S41" s="229"/>
      <c r="T41" s="228">
        <f>INDEX('Apportionment Bases'!AX$6:AX$33,MATCH('PC24'!$N41,'Apportionment Bases'!$A$6:$A$33,0))</f>
        <v>1</v>
      </c>
      <c r="V41" s="66"/>
      <c r="W41" s="72">
        <f t="shared" ref="W41" si="46">Q41*$L41</f>
        <v>0</v>
      </c>
      <c r="X41" s="66"/>
      <c r="Y41" s="66"/>
      <c r="Z41" s="72">
        <f t="shared" ref="Z41" si="47">T41*$L41</f>
        <v>0</v>
      </c>
      <c r="AA41" s="266" t="str">
        <f t="shared" si="19"/>
        <v>TRUE</v>
      </c>
      <c r="AH41" s="301"/>
      <c r="AO41" s="81"/>
      <c r="AP41" s="72">
        <f t="shared" ref="AP41" si="48">$AD$7*W41</f>
        <v>0</v>
      </c>
      <c r="AQ41" s="117"/>
      <c r="AR41" s="117"/>
      <c r="AS41" s="72">
        <f t="shared" ref="AS41" si="49">$AG$7*Z41</f>
        <v>0</v>
      </c>
      <c r="AT41" s="300"/>
      <c r="AU41" s="81"/>
      <c r="AV41" s="72">
        <f t="shared" ref="AV41" si="50">$AD$8*W41</f>
        <v>0</v>
      </c>
      <c r="AW41" s="81"/>
      <c r="AX41" s="81"/>
      <c r="AY41" s="72">
        <f t="shared" ref="AY41" si="51">$AG$8*Z41</f>
        <v>0</v>
      </c>
      <c r="AZ41" s="300"/>
      <c r="BG41" s="81"/>
      <c r="BH41" s="72">
        <f t="shared" ref="BH41" si="52">$AD$9*W41</f>
        <v>0</v>
      </c>
      <c r="BI41" s="81"/>
      <c r="BJ41" s="81"/>
      <c r="BK41" s="72">
        <f t="shared" ref="BK41" si="53">$AG$9*Z41</f>
        <v>0</v>
      </c>
      <c r="BL41" s="300"/>
      <c r="BM41" s="81"/>
      <c r="BN41" s="72">
        <f t="shared" ref="BN41" si="54">$AD$10*W41</f>
        <v>0</v>
      </c>
      <c r="BO41" s="81"/>
      <c r="BP41" s="81"/>
      <c r="BQ41" s="72">
        <f t="shared" ref="BQ41" si="55">$AG$10*Z41</f>
        <v>0</v>
      </c>
      <c r="CD41" s="300"/>
      <c r="CE41" s="81"/>
      <c r="CF41" s="72">
        <f t="shared" ref="CF41" si="56">$AD$11*W41</f>
        <v>0</v>
      </c>
      <c r="CG41" s="81"/>
      <c r="CH41" s="81"/>
      <c r="CI41" s="72">
        <f t="shared" ref="CI41" si="57">$AG$11*Z41</f>
        <v>0</v>
      </c>
      <c r="CJ41" s="301"/>
      <c r="CK41" s="66"/>
      <c r="CL41" s="72">
        <f t="shared" ref="CL41" si="58">$AD$12*W41</f>
        <v>0</v>
      </c>
      <c r="CM41" s="66"/>
      <c r="CN41" s="66"/>
      <c r="CO41" s="72">
        <f t="shared" ref="CO41" si="59">$AG$12*Z41</f>
        <v>0</v>
      </c>
      <c r="CP41" s="301"/>
    </row>
    <row r="42" spans="1:94" x14ac:dyDescent="0.25">
      <c r="A42" s="3" t="s">
        <v>247</v>
      </c>
      <c r="B42" s="3" t="s">
        <v>158</v>
      </c>
      <c r="C42" s="3" t="s">
        <v>47</v>
      </c>
      <c r="D42" s="3" t="s">
        <v>48</v>
      </c>
      <c r="E42" s="3" t="s">
        <v>48</v>
      </c>
      <c r="F42" t="s">
        <v>527</v>
      </c>
      <c r="G42" t="s">
        <v>159</v>
      </c>
      <c r="H42" s="67">
        <f t="shared" si="45"/>
        <v>251.75</v>
      </c>
      <c r="I42" s="67">
        <f t="shared" si="45"/>
        <v>251.75</v>
      </c>
      <c r="J42" s="67">
        <f t="shared" si="45"/>
        <v>251.75</v>
      </c>
      <c r="K42" s="67">
        <f t="shared" si="45"/>
        <v>251.75</v>
      </c>
      <c r="L42" s="705">
        <v>1007</v>
      </c>
      <c r="N42" s="206" t="s">
        <v>541</v>
      </c>
      <c r="P42" s="229"/>
      <c r="Q42" s="228">
        <f>INDEX('Apportionment Bases'!AU$6:AU$33,MATCH('PC24'!$N42,'Apportionment Bases'!$A$6:$A$33,0))</f>
        <v>0</v>
      </c>
      <c r="R42" s="229"/>
      <c r="S42" s="229"/>
      <c r="T42" s="228">
        <f>INDEX('Apportionment Bases'!AX$6:AX$33,MATCH('PC24'!$N42,'Apportionment Bases'!$A$6:$A$33,0))</f>
        <v>1</v>
      </c>
      <c r="V42" s="66"/>
      <c r="W42" s="72">
        <f t="shared" si="31"/>
        <v>0</v>
      </c>
      <c r="X42" s="66"/>
      <c r="Y42" s="66"/>
      <c r="Z42" s="72">
        <f t="shared" si="32"/>
        <v>1007</v>
      </c>
      <c r="AA42" s="266" t="str">
        <f t="shared" si="19"/>
        <v>TRUE</v>
      </c>
      <c r="AH42" s="301"/>
      <c r="AO42" s="81"/>
      <c r="AP42" s="72">
        <f t="shared" si="33"/>
        <v>0</v>
      </c>
      <c r="AQ42" s="117"/>
      <c r="AR42" s="117"/>
      <c r="AS42" s="72">
        <f t="shared" si="34"/>
        <v>441.55220664310963</v>
      </c>
      <c r="AT42" s="300"/>
      <c r="AU42" s="81"/>
      <c r="AV42" s="72">
        <f t="shared" si="35"/>
        <v>0</v>
      </c>
      <c r="AW42" s="81"/>
      <c r="AX42" s="81"/>
      <c r="AY42" s="72">
        <f t="shared" si="36"/>
        <v>123.96170000000001</v>
      </c>
      <c r="AZ42" s="300"/>
      <c r="BG42" s="81"/>
      <c r="BH42" s="72">
        <f t="shared" si="37"/>
        <v>0</v>
      </c>
      <c r="BI42" s="81"/>
      <c r="BJ42" s="81"/>
      <c r="BK42" s="72">
        <f t="shared" si="38"/>
        <v>164.16113999999999</v>
      </c>
      <c r="BL42" s="300"/>
      <c r="BM42" s="81"/>
      <c r="BN42" s="72">
        <f t="shared" si="39"/>
        <v>0</v>
      </c>
      <c r="BO42" s="81"/>
      <c r="BP42" s="81"/>
      <c r="BQ42" s="72">
        <f t="shared" si="40"/>
        <v>158.70035335689045</v>
      </c>
      <c r="CD42" s="300"/>
      <c r="CE42" s="81"/>
      <c r="CF42" s="72">
        <f t="shared" si="41"/>
        <v>0</v>
      </c>
      <c r="CG42" s="81"/>
      <c r="CH42" s="81"/>
      <c r="CI42" s="72">
        <f t="shared" si="42"/>
        <v>7.8545999999999996</v>
      </c>
      <c r="CJ42" s="301"/>
      <c r="CK42" s="66"/>
      <c r="CL42" s="72">
        <f t="shared" si="43"/>
        <v>0</v>
      </c>
      <c r="CM42" s="66"/>
      <c r="CN42" s="66"/>
      <c r="CO42" s="72">
        <f t="shared" si="44"/>
        <v>110.77</v>
      </c>
      <c r="CP42" s="301"/>
    </row>
    <row r="43" spans="1:94" x14ac:dyDescent="0.25">
      <c r="A43" s="3" t="s">
        <v>247</v>
      </c>
      <c r="B43" s="3" t="s">
        <v>158</v>
      </c>
      <c r="C43" s="3" t="s">
        <v>45</v>
      </c>
      <c r="D43" s="3" t="s">
        <v>48</v>
      </c>
      <c r="E43" s="3" t="s">
        <v>48</v>
      </c>
      <c r="F43" t="s">
        <v>528</v>
      </c>
      <c r="G43" t="s">
        <v>159</v>
      </c>
      <c r="H43" s="67">
        <f t="shared" si="45"/>
        <v>3072.25</v>
      </c>
      <c r="I43" s="67">
        <f t="shared" si="45"/>
        <v>3072.25</v>
      </c>
      <c r="J43" s="67">
        <f t="shared" si="45"/>
        <v>3072.25</v>
      </c>
      <c r="K43" s="67">
        <f t="shared" si="45"/>
        <v>3072.25</v>
      </c>
      <c r="L43" s="705">
        <v>12289</v>
      </c>
      <c r="N43" s="206" t="s">
        <v>541</v>
      </c>
      <c r="P43" s="229"/>
      <c r="Q43" s="228">
        <f>INDEX('Apportionment Bases'!AU$6:AU$33,MATCH('PC24'!$N43,'Apportionment Bases'!$A$6:$A$33,0))</f>
        <v>0</v>
      </c>
      <c r="R43" s="229"/>
      <c r="S43" s="229"/>
      <c r="T43" s="228">
        <f>INDEX('Apportionment Bases'!AX$6:AX$33,MATCH('PC24'!$N43,'Apportionment Bases'!$A$6:$A$33,0))</f>
        <v>1</v>
      </c>
      <c r="V43" s="66"/>
      <c r="W43" s="72">
        <f t="shared" si="31"/>
        <v>0</v>
      </c>
      <c r="X43" s="66"/>
      <c r="Y43" s="66"/>
      <c r="Z43" s="72">
        <f t="shared" si="32"/>
        <v>12289</v>
      </c>
      <c r="AA43" s="266" t="str">
        <f t="shared" si="19"/>
        <v>TRUE</v>
      </c>
      <c r="AH43" s="301"/>
      <c r="AO43" s="81"/>
      <c r="AP43" s="72">
        <f t="shared" si="33"/>
        <v>0</v>
      </c>
      <c r="AQ43" s="117"/>
      <c r="AR43" s="117"/>
      <c r="AS43" s="72">
        <f t="shared" si="34"/>
        <v>5388.5154592226154</v>
      </c>
      <c r="AT43" s="300"/>
      <c r="AU43" s="81"/>
      <c r="AV43" s="72">
        <f t="shared" si="35"/>
        <v>0</v>
      </c>
      <c r="AW43" s="81"/>
      <c r="AX43" s="81"/>
      <c r="AY43" s="72">
        <f t="shared" si="36"/>
        <v>1512.7759000000001</v>
      </c>
      <c r="AZ43" s="300"/>
      <c r="BG43" s="81"/>
      <c r="BH43" s="72">
        <f t="shared" si="37"/>
        <v>0</v>
      </c>
      <c r="BI43" s="81"/>
      <c r="BJ43" s="81"/>
      <c r="BK43" s="72">
        <f t="shared" si="38"/>
        <v>2003.3527799999999</v>
      </c>
      <c r="BL43" s="300"/>
      <c r="BM43" s="81"/>
      <c r="BN43" s="72">
        <f t="shared" si="39"/>
        <v>0</v>
      </c>
      <c r="BO43" s="81"/>
      <c r="BP43" s="81"/>
      <c r="BQ43" s="72">
        <f t="shared" si="40"/>
        <v>1936.7116607773851</v>
      </c>
      <c r="CD43" s="300"/>
      <c r="CE43" s="81"/>
      <c r="CF43" s="72">
        <f t="shared" si="41"/>
        <v>0</v>
      </c>
      <c r="CG43" s="81"/>
      <c r="CH43" s="81"/>
      <c r="CI43" s="72">
        <f t="shared" si="42"/>
        <v>95.854199999999992</v>
      </c>
      <c r="CJ43" s="301"/>
      <c r="CK43" s="66"/>
      <c r="CL43" s="72">
        <f t="shared" si="43"/>
        <v>0</v>
      </c>
      <c r="CM43" s="66"/>
      <c r="CN43" s="66"/>
      <c r="CO43" s="72">
        <f t="shared" si="44"/>
        <v>1351.79</v>
      </c>
      <c r="CP43" s="301"/>
    </row>
    <row r="44" spans="1:94" ht="15.75" thickBot="1" x14ac:dyDescent="0.3">
      <c r="A44" s="27"/>
      <c r="B44" s="27"/>
      <c r="C44" s="27"/>
      <c r="D44" s="27"/>
      <c r="E44" s="27"/>
      <c r="F44" s="28"/>
      <c r="G44" s="28" t="s">
        <v>160</v>
      </c>
      <c r="H44" s="28"/>
      <c r="I44" s="28"/>
      <c r="J44" s="28"/>
      <c r="K44" s="28"/>
      <c r="L44" s="29">
        <f>SUM(L20:L43)</f>
        <v>309642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>
        <f>SUM(W20:W43)</f>
        <v>131992</v>
      </c>
      <c r="X44" s="29"/>
      <c r="Y44" s="29"/>
      <c r="Z44" s="29">
        <f>SUM(Z20:Z43)</f>
        <v>177650</v>
      </c>
      <c r="AA44" s="28"/>
      <c r="AB44" s="28"/>
      <c r="AC44" s="28"/>
      <c r="AD44" s="28"/>
      <c r="AE44" s="28"/>
      <c r="AF44" s="28"/>
      <c r="AG44" s="28"/>
      <c r="AH44" s="306"/>
      <c r="AI44" s="28"/>
      <c r="AJ44" s="28"/>
      <c r="AK44" s="28"/>
      <c r="AL44" s="28"/>
      <c r="AM44" s="28"/>
      <c r="AN44" s="28"/>
      <c r="AO44" s="28"/>
      <c r="AP44" s="29">
        <f>SUM(AP20:AP43)</f>
        <v>36175.305277221109</v>
      </c>
      <c r="AQ44" s="29"/>
      <c r="AR44" s="29"/>
      <c r="AS44" s="29">
        <f>SUM(AS20:AS43)</f>
        <v>77896.474190812747</v>
      </c>
      <c r="AT44" s="306"/>
      <c r="AU44" s="28"/>
      <c r="AV44" s="29">
        <f>SUM(AV20:AV43)</f>
        <v>8552.5878423513695</v>
      </c>
      <c r="AW44" s="29"/>
      <c r="AX44" s="29"/>
      <c r="AY44" s="29">
        <f>SUM(AY20:AY43)</f>
        <v>21868.715000000004</v>
      </c>
      <c r="AZ44" s="306"/>
      <c r="BA44" s="28"/>
      <c r="BB44" s="28"/>
      <c r="BC44" s="28"/>
      <c r="BD44" s="28"/>
      <c r="BE44" s="28"/>
      <c r="BF44" s="28"/>
      <c r="BG44" s="28"/>
      <c r="BH44" s="29">
        <f>SUM(BH20:BH43)</f>
        <v>32711.444221776888</v>
      </c>
      <c r="BI44" s="29"/>
      <c r="BJ44" s="29"/>
      <c r="BK44" s="29">
        <f>SUM(BK20:BK43)</f>
        <v>28960.503000000004</v>
      </c>
      <c r="BL44" s="306"/>
      <c r="BM44" s="28"/>
      <c r="BN44" s="29">
        <f>SUM(BN20:BN43)</f>
        <v>32169.822311289245</v>
      </c>
      <c r="BO44" s="29"/>
      <c r="BP44" s="29"/>
      <c r="BQ44" s="29">
        <f>SUM(BQ20:BQ43)</f>
        <v>27997.137809187279</v>
      </c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306"/>
      <c r="CE44" s="28"/>
      <c r="CF44" s="29">
        <f>SUM(CF20:CF43)</f>
        <v>629.79291917167677</v>
      </c>
      <c r="CG44" s="29"/>
      <c r="CH44" s="29"/>
      <c r="CI44" s="29">
        <f>SUM(CI20:CI43)</f>
        <v>1385.6699999999998</v>
      </c>
      <c r="CJ44" s="306"/>
      <c r="CK44" s="28"/>
      <c r="CL44" s="29">
        <f>SUM(CL20:CL43)</f>
        <v>21753.047428189715</v>
      </c>
      <c r="CM44" s="29"/>
      <c r="CN44" s="29"/>
      <c r="CO44" s="29">
        <f>SUM(CO20:CO43)</f>
        <v>19541.500000000004</v>
      </c>
      <c r="CP44" s="301"/>
    </row>
    <row r="45" spans="1:94" ht="15.75" thickTop="1" x14ac:dyDescent="0.25">
      <c r="G45" s="266" t="s">
        <v>696</v>
      </c>
      <c r="H45" s="266"/>
      <c r="I45" s="266"/>
      <c r="J45" s="266"/>
      <c r="K45" s="266"/>
      <c r="L45" s="539">
        <v>-22</v>
      </c>
      <c r="AH45" s="301"/>
      <c r="AT45" s="300"/>
      <c r="AV45" s="111"/>
      <c r="AW45" s="111"/>
      <c r="AX45" s="111"/>
      <c r="AY45" s="111"/>
      <c r="AZ45" s="300"/>
      <c r="BH45" s="111"/>
      <c r="BI45" s="111"/>
      <c r="BJ45" s="111"/>
      <c r="BK45" s="111"/>
      <c r="BL45" s="300"/>
      <c r="BN45" s="111"/>
      <c r="BO45" s="111"/>
      <c r="BP45" s="111"/>
      <c r="BQ45" s="111"/>
      <c r="CD45" s="300"/>
      <c r="CF45" s="111"/>
      <c r="CG45" s="111"/>
      <c r="CH45" s="111"/>
      <c r="CI45" s="111"/>
      <c r="CJ45" s="301"/>
      <c r="CL45" s="111"/>
      <c r="CM45" s="111"/>
      <c r="CN45" s="111"/>
      <c r="CO45" s="111"/>
      <c r="CP45" s="301"/>
    </row>
    <row r="46" spans="1:94" ht="15.75" thickBot="1" x14ac:dyDescent="0.3">
      <c r="A46" s="27"/>
      <c r="B46" s="27"/>
      <c r="C46" s="27"/>
      <c r="D46" s="27"/>
      <c r="E46" s="27"/>
      <c r="F46" s="28"/>
      <c r="G46" s="28" t="s">
        <v>161</v>
      </c>
      <c r="H46" s="28"/>
      <c r="I46" s="28"/>
      <c r="J46" s="28"/>
      <c r="K46" s="28"/>
      <c r="L46" s="29">
        <f>L44+L17+L45</f>
        <v>474196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9">
        <f>W44+W17</f>
        <v>131992</v>
      </c>
      <c r="X46" s="29"/>
      <c r="Y46" s="29"/>
      <c r="Z46" s="29">
        <f>Z44+Z17</f>
        <v>342226</v>
      </c>
      <c r="AA46" s="28"/>
      <c r="AB46" s="28"/>
      <c r="AC46" s="28"/>
      <c r="AD46" s="28"/>
      <c r="AE46" s="28"/>
      <c r="AF46" s="28"/>
      <c r="AG46" s="28"/>
      <c r="AH46" s="306"/>
      <c r="AI46" s="28"/>
      <c r="AJ46" s="28"/>
      <c r="AK46" s="28"/>
      <c r="AL46" s="28"/>
      <c r="AM46" s="28"/>
      <c r="AN46" s="28"/>
      <c r="AO46" s="28"/>
      <c r="AP46" s="29">
        <f>AP44+AP17</f>
        <v>36175.305277221109</v>
      </c>
      <c r="AQ46" s="29"/>
      <c r="AR46" s="29"/>
      <c r="AS46" s="29">
        <f>AS44+AS17</f>
        <v>150060.2239033216</v>
      </c>
      <c r="AT46" s="306"/>
      <c r="AU46" s="28"/>
      <c r="AV46" s="29">
        <f>AV44+AV17</f>
        <v>8552.5878423513695</v>
      </c>
      <c r="AW46" s="29"/>
      <c r="AX46" s="29"/>
      <c r="AY46" s="29">
        <f>AY44+AY17</f>
        <v>42128.020600000003</v>
      </c>
      <c r="AZ46" s="306"/>
      <c r="BA46" s="28"/>
      <c r="BB46" s="28"/>
      <c r="BC46" s="28"/>
      <c r="BD46" s="28"/>
      <c r="BE46" s="28"/>
      <c r="BF46" s="28"/>
      <c r="BG46" s="28"/>
      <c r="BH46" s="29">
        <f>BH44+BH17</f>
        <v>32711.444221776888</v>
      </c>
      <c r="BI46" s="29"/>
      <c r="BJ46" s="29"/>
      <c r="BK46" s="29">
        <f>BK44+BK17</f>
        <v>55789.682520000002</v>
      </c>
      <c r="BL46" s="306"/>
      <c r="BM46" s="28"/>
      <c r="BN46" s="29">
        <f>BN44+BN17</f>
        <v>32169.822311289245</v>
      </c>
      <c r="BO46" s="29"/>
      <c r="BP46" s="29"/>
      <c r="BQ46" s="29">
        <f>BQ44+BQ17</f>
        <v>53933.850176678447</v>
      </c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306"/>
      <c r="CE46" s="28"/>
      <c r="CF46" s="29">
        <f>CF44+CF17</f>
        <v>629.79291917167677</v>
      </c>
      <c r="CG46" s="29"/>
      <c r="CH46" s="29"/>
      <c r="CI46" s="29">
        <f>CI44+CI17</f>
        <v>2669.3627999999999</v>
      </c>
      <c r="CJ46" s="306"/>
      <c r="CK46" s="28"/>
      <c r="CL46" s="29">
        <f>CL44+CL17</f>
        <v>21753.047428189715</v>
      </c>
      <c r="CM46" s="29"/>
      <c r="CN46" s="29"/>
      <c r="CO46" s="29">
        <f>CO44+CO17</f>
        <v>37644.86</v>
      </c>
      <c r="CP46" s="301"/>
    </row>
    <row r="47" spans="1:94" ht="15.75" thickTop="1" x14ac:dyDescent="0.25">
      <c r="AH47" s="301"/>
      <c r="AP47" s="298">
        <f>AP46/W46</f>
        <v>0.27407195343067087</v>
      </c>
      <c r="AS47" s="298">
        <f>AS46/Z46</f>
        <v>0.4384828268551238</v>
      </c>
      <c r="AT47" s="300"/>
      <c r="AV47" s="298">
        <f>AV46/W46</f>
        <v>6.4796259185036745E-2</v>
      </c>
      <c r="AY47" s="298">
        <f>AY46/Z46</f>
        <v>0.12310000000000001</v>
      </c>
      <c r="AZ47" s="300"/>
      <c r="BH47" s="298">
        <f>BH46/W46</f>
        <v>0.24782899131596528</v>
      </c>
      <c r="BK47" s="298">
        <f>BK46/Z46</f>
        <v>0.16302</v>
      </c>
      <c r="BL47" s="300"/>
      <c r="BN47" s="298">
        <f>BN46/W46</f>
        <v>0.24372554633075674</v>
      </c>
      <c r="BQ47" s="298">
        <f>BQ46/Z46</f>
        <v>0.15759717314487634</v>
      </c>
      <c r="CD47" s="300"/>
      <c r="CF47" s="298">
        <f>CF46/W46</f>
        <v>4.7714476572192008E-3</v>
      </c>
      <c r="CI47" s="298">
        <f>CI46/Z46</f>
        <v>7.7999999999999996E-3</v>
      </c>
      <c r="CJ47" s="301"/>
      <c r="CL47" s="298">
        <f>CL46/W46</f>
        <v>0.1648058020803512</v>
      </c>
      <c r="CO47" s="298">
        <f>CO46/Z46</f>
        <v>0.11</v>
      </c>
      <c r="CP47" s="301"/>
    </row>
    <row r="48" spans="1:94" x14ac:dyDescent="0.25">
      <c r="AH48" s="301"/>
      <c r="AP48" s="54" t="str">
        <f>IF(AP47=AD$7,"TRUE","FALSE")</f>
        <v>TRUE</v>
      </c>
      <c r="AS48" s="54" t="str">
        <f>IF(AS47=AG$7,"TRUE","FALSE")</f>
        <v>TRUE</v>
      </c>
      <c r="AT48" s="300"/>
      <c r="AV48" s="54" t="str">
        <f>IF(AV47=AD$8,"TRUE","FALSE")</f>
        <v>TRUE</v>
      </c>
      <c r="AY48" s="54" t="str">
        <f>IF(AY47=AG$8,"TRUE","FALSE")</f>
        <v>TRUE</v>
      </c>
      <c r="AZ48" s="300"/>
      <c r="BH48" s="54" t="str">
        <f>IF(BH47=AD$9,"TRUE","FALSE")</f>
        <v>TRUE</v>
      </c>
      <c r="BK48" s="54" t="str">
        <f>IF(BK47=AG$9,"TRUE","FALSE")</f>
        <v>TRUE</v>
      </c>
      <c r="BL48" s="300"/>
      <c r="BN48" s="54" t="str">
        <f>IF(BN47=AD$10,"TRUE","FALSE")</f>
        <v>TRUE</v>
      </c>
      <c r="BQ48" s="54" t="str">
        <f>IF(BQ47=AG$10,"TRUE","FALSE")</f>
        <v>TRUE</v>
      </c>
      <c r="CD48" s="300"/>
      <c r="CF48" s="54" t="str">
        <f>IF(CF47=AD$11,"TRUE","FALSE")</f>
        <v>TRUE</v>
      </c>
      <c r="CI48" s="54" t="str">
        <f>IF(CI47=AG$11,"TRUE","FALSE")</f>
        <v>TRUE</v>
      </c>
      <c r="CJ48" s="301"/>
      <c r="CL48" s="54" t="str">
        <f>IF(CL47=AD$12,"TRUE","FALSE")</f>
        <v>TRUE</v>
      </c>
      <c r="CO48" s="54" t="str">
        <f>IF(CO47=AG$12,"TRUE","FALSE")</f>
        <v>TRUE</v>
      </c>
      <c r="CP48" s="301"/>
    </row>
    <row r="49" spans="34:94" x14ac:dyDescent="0.25">
      <c r="AH49" s="301"/>
      <c r="AI49" s="301"/>
      <c r="AJ49" s="301"/>
      <c r="AK49" s="301"/>
      <c r="AL49" s="301"/>
      <c r="AM49" s="301"/>
      <c r="AN49" s="301"/>
      <c r="AO49" s="300"/>
      <c r="AP49" s="348"/>
      <c r="AQ49" s="348"/>
      <c r="AR49" s="348"/>
      <c r="AS49" s="348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1"/>
      <c r="CK49" s="301"/>
      <c r="CL49" s="301"/>
      <c r="CM49" s="301"/>
      <c r="CN49" s="301"/>
      <c r="CO49" s="301"/>
      <c r="CP49" s="301"/>
    </row>
  </sheetData>
  <mergeCells count="17">
    <mergeCell ref="A1:N1"/>
    <mergeCell ref="A2:N2"/>
    <mergeCell ref="A6:G6"/>
    <mergeCell ref="A19:G19"/>
    <mergeCell ref="BY4:CC4"/>
    <mergeCell ref="AI4:AM4"/>
    <mergeCell ref="P4:T4"/>
    <mergeCell ref="V4:Z4"/>
    <mergeCell ref="AB4:AG4"/>
    <mergeCell ref="CE4:CI4"/>
    <mergeCell ref="CK4:CO4"/>
    <mergeCell ref="AO4:AS4"/>
    <mergeCell ref="AU4:AY4"/>
    <mergeCell ref="BA4:BE4"/>
    <mergeCell ref="BG4:BK4"/>
    <mergeCell ref="BM4:BQ4"/>
    <mergeCell ref="BS4:BW4"/>
  </mergeCells>
  <conditionalFormatting sqref="N20:N43">
    <cfRule type="containsText" dxfId="733" priority="31" operator="containsText" text="Insurance">
      <formula>NOT(ISERROR(SEARCH("Insurance",N20)))</formula>
    </cfRule>
    <cfRule type="containsText" dxfId="732" priority="32" operator="containsText" text="Region 9">
      <formula>NOT(ISERROR(SEARCH("Region 9",N20)))</formula>
    </cfRule>
    <cfRule type="containsText" dxfId="731" priority="33" operator="containsText" text="ETM">
      <formula>NOT(ISERROR(SEARCH("ETM",N20)))</formula>
    </cfRule>
    <cfRule type="containsText" dxfId="730" priority="34" operator="containsText" text="Outfall">
      <formula>NOT(ISERROR(SEARCH("Outfall",N20)))</formula>
    </cfRule>
    <cfRule type="containsText" dxfId="729" priority="35" operator="containsText" text="Petroleum">
      <formula>NOT(ISERROR(SEARCH("Petroleum",N20)))</formula>
    </cfRule>
    <cfRule type="containsText" dxfId="728" priority="36" operator="containsText" text="Laboratory">
      <formula>NOT(ISERROR(SEARCH("Laboratory",N20)))</formula>
    </cfRule>
    <cfRule type="containsText" dxfId="727" priority="37" operator="containsText" text="Odor Control">
      <formula>NOT(ISERROR(SEARCH("Odor Control",N20)))</formula>
    </cfRule>
    <cfRule type="containsText" dxfId="726" priority="38" operator="containsText" text="Ferric">
      <formula>NOT(ISERROR(SEARCH("Ferric",N20)))</formula>
    </cfRule>
    <cfRule type="containsText" dxfId="725" priority="39" operator="containsText" text="Chlorine">
      <formula>NOT(ISERROR(SEARCH("Chlorine",N20)))</formula>
    </cfRule>
    <cfRule type="containsText" dxfId="724" priority="40" operator="containsText" text="Potable">
      <formula>NOT(ISERROR(SEARCH("Potable",N20)))</formula>
    </cfRule>
    <cfRule type="containsText" dxfId="723" priority="41" operator="containsText" text="Natural Gas">
      <formula>NOT(ISERROR(SEARCH("Natural Gas",N20)))</formula>
    </cfRule>
    <cfRule type="containsText" dxfId="722" priority="42" operator="containsText" text="Electricity">
      <formula>NOT(ISERROR(SEARCH("Electricity",N20)))</formula>
    </cfRule>
    <cfRule type="containsText" dxfId="721" priority="43" operator="containsText" text="Single Area">
      <formula>NOT(ISERROR(SEARCH("Single Area",N20)))</formula>
    </cfRule>
    <cfRule type="containsText" dxfId="720" priority="44" operator="containsText" text="Actual Use">
      <formula>NOT(ISERROR(SEARCH("Actual Use",N20)))</formula>
    </cfRule>
    <cfRule type="containsText" dxfId="719" priority="45" operator="containsText" text="Labor -">
      <formula>NOT(ISERROR(SEARCH("Labor -",N20)))</formula>
    </cfRule>
  </conditionalFormatting>
  <conditionalFormatting sqref="N7:N16">
    <cfRule type="containsText" dxfId="718" priority="1" operator="containsText" text="Insurance">
      <formula>NOT(ISERROR(SEARCH("Insurance",N7)))</formula>
    </cfRule>
    <cfRule type="containsText" dxfId="717" priority="2" operator="containsText" text="Region 9">
      <formula>NOT(ISERROR(SEARCH("Region 9",N7)))</formula>
    </cfRule>
    <cfRule type="containsText" dxfId="716" priority="3" operator="containsText" text="ETM">
      <formula>NOT(ISERROR(SEARCH("ETM",N7)))</formula>
    </cfRule>
    <cfRule type="containsText" dxfId="715" priority="4" operator="containsText" text="Outfall">
      <formula>NOT(ISERROR(SEARCH("Outfall",N7)))</formula>
    </cfRule>
    <cfRule type="containsText" dxfId="714" priority="5" operator="containsText" text="Petroleum">
      <formula>NOT(ISERROR(SEARCH("Petroleum",N7)))</formula>
    </cfRule>
    <cfRule type="containsText" dxfId="713" priority="6" operator="containsText" text="Laboratory">
      <formula>NOT(ISERROR(SEARCH("Laboratory",N7)))</formula>
    </cfRule>
    <cfRule type="containsText" dxfId="712" priority="7" operator="containsText" text="Odor Control">
      <formula>NOT(ISERROR(SEARCH("Odor Control",N7)))</formula>
    </cfRule>
    <cfRule type="containsText" dxfId="711" priority="8" operator="containsText" text="Ferric">
      <formula>NOT(ISERROR(SEARCH("Ferric",N7)))</formula>
    </cfRule>
    <cfRule type="containsText" dxfId="710" priority="9" operator="containsText" text="Chlorine">
      <formula>NOT(ISERROR(SEARCH("Chlorine",N7)))</formula>
    </cfRule>
    <cfRule type="containsText" dxfId="709" priority="10" operator="containsText" text="Potable">
      <formula>NOT(ISERROR(SEARCH("Potable",N7)))</formula>
    </cfRule>
    <cfRule type="containsText" dxfId="708" priority="11" operator="containsText" text="Natural Gas">
      <formula>NOT(ISERROR(SEARCH("Natural Gas",N7)))</formula>
    </cfRule>
    <cfRule type="containsText" dxfId="707" priority="12" operator="containsText" text="Electricity">
      <formula>NOT(ISERROR(SEARCH("Electricity",N7)))</formula>
    </cfRule>
    <cfRule type="containsText" dxfId="706" priority="13" operator="containsText" text="Single Area">
      <formula>NOT(ISERROR(SEARCH("Single Area",N7)))</formula>
    </cfRule>
    <cfRule type="containsText" dxfId="705" priority="14" operator="containsText" text="Actual Use">
      <formula>NOT(ISERROR(SEARCH("Actual Use",N7)))</formula>
    </cfRule>
    <cfRule type="containsText" dxfId="704" priority="15" operator="containsText" text="Labor -">
      <formula>NOT(ISERROR(SEARCH("Labor -",N7)))</formula>
    </cfRule>
  </conditionalFormatting>
  <dataValidations count="1">
    <dataValidation type="list" showInputMessage="1" showErrorMessage="1" sqref="N20:N43" xr:uid="{00000000-0002-0000-0900-000000000000}">
      <formula1>$A$6:$A$33</formula1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900-000001000000}">
          <x14:formula1>
            <xm:f>'Apportionment Bases'!$A$6:$A$33</xm:f>
          </x14:formula1>
          <xm:sqref>N7:N16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  <pageSetUpPr fitToPage="1"/>
  </sheetPr>
  <dimension ref="B1:N56"/>
  <sheetViews>
    <sheetView showGridLines="0" topLeftCell="A20" zoomScaleNormal="100" workbookViewId="0">
      <selection activeCell="C54" sqref="C54"/>
    </sheetView>
  </sheetViews>
  <sheetFormatPr defaultRowHeight="15" x14ac:dyDescent="0.25"/>
  <cols>
    <col min="1" max="1" width="2.85546875" customWidth="1"/>
    <col min="2" max="2" width="5.5703125" customWidth="1"/>
    <col min="3" max="3" width="28.140625" bestFit="1" customWidth="1"/>
    <col min="4" max="4" width="12.28515625" bestFit="1" customWidth="1"/>
    <col min="5" max="5" width="11.140625" bestFit="1" customWidth="1"/>
    <col min="6" max="6" width="13.28515625" bestFit="1" customWidth="1"/>
    <col min="7" max="7" width="21" customWidth="1"/>
    <col min="8" max="9" width="12.28515625" bestFit="1" customWidth="1"/>
    <col min="10" max="10" width="12.5703125" bestFit="1" customWidth="1"/>
    <col min="11" max="11" width="11.140625" bestFit="1" customWidth="1"/>
    <col min="12" max="12" width="13.28515625" style="12" bestFit="1" customWidth="1"/>
    <col min="13" max="13" width="9.85546875" bestFit="1" customWidth="1"/>
  </cols>
  <sheetData>
    <row r="1" spans="2:13" ht="11.45" customHeight="1" x14ac:dyDescent="0.25"/>
    <row r="2" spans="2:13" ht="21" x14ac:dyDescent="0.25">
      <c r="B2" s="767" t="s">
        <v>0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</row>
    <row r="3" spans="2:13" ht="18.75" x14ac:dyDescent="0.25">
      <c r="B3" s="768" t="s">
        <v>706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</row>
    <row r="4" spans="2:13" ht="11.45" customHeight="1" x14ac:dyDescent="0.25"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</row>
    <row r="5" spans="2:13" ht="21" x14ac:dyDescent="0.25">
      <c r="B5" s="769" t="s">
        <v>680</v>
      </c>
      <c r="C5" s="769"/>
      <c r="D5" s="769"/>
      <c r="E5" s="769"/>
      <c r="F5" s="769"/>
      <c r="G5" s="769"/>
      <c r="H5" s="769"/>
      <c r="I5" s="769"/>
      <c r="J5" s="769"/>
      <c r="K5" s="769"/>
      <c r="L5" s="769"/>
    </row>
    <row r="6" spans="2:13" s="85" customFormat="1" ht="10.5" customHeight="1" x14ac:dyDescent="0.25">
      <c r="B6" s="133"/>
      <c r="C6" s="135"/>
      <c r="D6" s="137" t="s">
        <v>33</v>
      </c>
      <c r="E6" s="137" t="s">
        <v>34</v>
      </c>
      <c r="F6" s="137" t="s">
        <v>251</v>
      </c>
      <c r="G6" s="137" t="s">
        <v>252</v>
      </c>
      <c r="H6" s="137" t="s">
        <v>253</v>
      </c>
      <c r="I6" s="700" t="s">
        <v>254</v>
      </c>
      <c r="J6" s="137" t="s">
        <v>255</v>
      </c>
      <c r="K6" s="137" t="s">
        <v>256</v>
      </c>
      <c r="L6" s="136"/>
    </row>
    <row r="7" spans="2:13" ht="15.75" customHeight="1" thickBot="1" x14ac:dyDescent="0.3">
      <c r="B7" s="85"/>
      <c r="C7" s="116" t="s">
        <v>182</v>
      </c>
      <c r="D7" s="138" t="s">
        <v>703</v>
      </c>
      <c r="E7" s="138" t="s">
        <v>534</v>
      </c>
      <c r="F7" s="138" t="s">
        <v>260</v>
      </c>
      <c r="G7" s="138" t="s">
        <v>692</v>
      </c>
      <c r="H7" s="138" t="s">
        <v>535</v>
      </c>
      <c r="I7" s="701" t="s">
        <v>536</v>
      </c>
      <c r="J7" s="138" t="s">
        <v>537</v>
      </c>
      <c r="K7" s="139" t="s">
        <v>538</v>
      </c>
      <c r="L7" s="132" t="s">
        <v>187</v>
      </c>
    </row>
    <row r="8" spans="2:13" x14ac:dyDescent="0.25">
      <c r="B8" s="134">
        <v>1</v>
      </c>
      <c r="C8" t="s">
        <v>166</v>
      </c>
      <c r="D8" s="140">
        <f>SUM('PC2'!AI95:AM95)</f>
        <v>1507202.5920986</v>
      </c>
      <c r="E8" s="140">
        <f>SUM('PC5'!AJ53:AM53)</f>
        <v>65674.231199999995</v>
      </c>
      <c r="F8" s="140">
        <f>SUM('PC8'!Z33:AA33)</f>
        <v>14684.409333333335</v>
      </c>
      <c r="G8" s="140">
        <f>SUM('PC12'!Z26:AA26)</f>
        <v>24620.125958596574</v>
      </c>
      <c r="H8" s="374"/>
      <c r="I8" s="374"/>
      <c r="J8" s="374"/>
      <c r="K8" s="377"/>
      <c r="L8" s="127">
        <f t="shared" ref="L8:L19" si="0">SUM(D8:K8)</f>
        <v>1612181.35859053</v>
      </c>
      <c r="M8" s="403">
        <f t="shared" ref="M8:M17" si="1">L8/$L$19</f>
        <v>8.9615611650882956E-2</v>
      </c>
    </row>
    <row r="9" spans="2:13" x14ac:dyDescent="0.25">
      <c r="B9" s="134">
        <v>2</v>
      </c>
      <c r="C9" t="s">
        <v>167</v>
      </c>
      <c r="D9" s="140">
        <f>SUM('PC2'!AO95:AS95)</f>
        <v>1036852.95797</v>
      </c>
      <c r="E9" s="140">
        <f>SUM('PC5'!AP53:AS53)</f>
        <v>76199.006399999984</v>
      </c>
      <c r="F9" s="140">
        <f>SUM('PC8'!AC33:AD33)</f>
        <v>41664.551333333329</v>
      </c>
      <c r="G9" s="140">
        <f>SUM('PC12'!AC26:AD26)</f>
        <v>67797.793499423831</v>
      </c>
      <c r="H9" s="140">
        <f>SUM('PC15'!AO86:AS86)</f>
        <v>280447.19490799995</v>
      </c>
      <c r="I9" s="140">
        <f>SUM('PC17'!AO98:AS98)</f>
        <v>6277327.3971902467</v>
      </c>
      <c r="J9" s="140">
        <f>SUM('PC21'!AF23:AG23)</f>
        <v>11142.56682</v>
      </c>
      <c r="K9" s="379">
        <f>SUM('PC24'!AO46:AS46)</f>
        <v>186235.52918054271</v>
      </c>
      <c r="L9" s="127">
        <f t="shared" si="0"/>
        <v>7977666.9973015469</v>
      </c>
      <c r="M9" s="403">
        <f t="shared" si="1"/>
        <v>0.44345104457433493</v>
      </c>
    </row>
    <row r="10" spans="2:13" x14ac:dyDescent="0.25">
      <c r="B10" s="134">
        <v>3</v>
      </c>
      <c r="C10" t="s">
        <v>168</v>
      </c>
      <c r="D10" s="140">
        <f>SUM('PC2'!AU95:AY95)</f>
        <v>1311794.6646436001</v>
      </c>
      <c r="E10" s="140">
        <f>SUM('PC5'!AV53:AY53)</f>
        <v>62762.2408</v>
      </c>
      <c r="F10" s="140">
        <f>SUM('PC8'!AF33:AG33)</f>
        <v>33684.509333333335</v>
      </c>
      <c r="G10" s="140">
        <f>SUM('PC12'!AF26:AG26)</f>
        <v>27992.012774665232</v>
      </c>
      <c r="H10" s="140">
        <f>SUM('PC15'!AU86:AY86)</f>
        <v>1352853.0920698729</v>
      </c>
      <c r="I10" s="140">
        <f>SUM('PC17'!AU98:AY98)</f>
        <v>363632.94565419387</v>
      </c>
      <c r="J10" s="374"/>
      <c r="K10" s="379">
        <f>SUM('PC24'!AU46:AY46)</f>
        <v>50680.608442351375</v>
      </c>
      <c r="L10" s="127">
        <f t="shared" si="0"/>
        <v>3203400.0737180165</v>
      </c>
      <c r="M10" s="403">
        <f t="shared" si="1"/>
        <v>0.17806598211736072</v>
      </c>
    </row>
    <row r="11" spans="2:13" x14ac:dyDescent="0.25">
      <c r="B11" s="134">
        <v>4</v>
      </c>
      <c r="C11" t="s">
        <v>169</v>
      </c>
      <c r="D11" s="140">
        <f>SUM('PC2'!BA95:BE95)</f>
        <v>1833651.7852878</v>
      </c>
      <c r="E11" s="140">
        <f>SUM('PC5'!BB53:BE53)</f>
        <v>184962.42479999998</v>
      </c>
      <c r="F11" s="140">
        <f>SUM('PC8'!AI33:AJ33)</f>
        <v>44134.564333333343</v>
      </c>
      <c r="G11" s="140">
        <f>SUM('PC12'!AI26:AJ26)</f>
        <v>74329.911898517894</v>
      </c>
      <c r="H11" s="374"/>
      <c r="I11" s="374"/>
      <c r="J11" s="374"/>
      <c r="K11" s="376"/>
      <c r="L11" s="127">
        <f t="shared" si="0"/>
        <v>2137078.6863196511</v>
      </c>
      <c r="M11" s="403">
        <f t="shared" si="1"/>
        <v>0.11879284709509104</v>
      </c>
    </row>
    <row r="12" spans="2:13" x14ac:dyDescent="0.25">
      <c r="B12" s="134">
        <v>5</v>
      </c>
      <c r="C12" t="s">
        <v>170</v>
      </c>
      <c r="D12" s="374"/>
      <c r="E12" s="374"/>
      <c r="F12" s="140">
        <f>SUM('PC8'!AL33:AM33)</f>
        <v>9174.3803333333344</v>
      </c>
      <c r="G12" s="374"/>
      <c r="H12" s="374"/>
      <c r="I12" s="140">
        <f>SUM('PC17'!BG98:BK98)</f>
        <v>663230.06573689613</v>
      </c>
      <c r="J12" s="140">
        <f>SUM('PC21'!AU23:AV23)</f>
        <v>26044.216589999996</v>
      </c>
      <c r="K12" s="379">
        <f>SUM('PC24'!BG46:BK46)</f>
        <v>88501.126741776883</v>
      </c>
      <c r="L12" s="127">
        <f t="shared" si="0"/>
        <v>786949.78940200619</v>
      </c>
      <c r="M12" s="403">
        <f t="shared" si="1"/>
        <v>4.3743829650437049E-2</v>
      </c>
    </row>
    <row r="13" spans="2:13" x14ac:dyDescent="0.25">
      <c r="B13" s="134">
        <v>6</v>
      </c>
      <c r="C13" t="s">
        <v>172</v>
      </c>
      <c r="D13" s="374"/>
      <c r="E13" s="374"/>
      <c r="F13" s="140">
        <f>SUM('PC8'!AO33:AP33)</f>
        <v>18484.42933333333</v>
      </c>
      <c r="G13" s="140">
        <f>SUM('PC12'!AU26:AV26)</f>
        <v>25335.374677156593</v>
      </c>
      <c r="H13" s="374"/>
      <c r="I13" s="374"/>
      <c r="J13" s="140">
        <f>SUM('PC21'!BD23:BE23)</f>
        <v>26044.216589999996</v>
      </c>
      <c r="K13" s="379">
        <f>SUM('PC24'!BM46:BQ46)</f>
        <v>86103.672487967691</v>
      </c>
      <c r="L13" s="127">
        <f t="shared" si="0"/>
        <v>155967.69308845763</v>
      </c>
      <c r="M13" s="403">
        <f t="shared" si="1"/>
        <v>8.669707126572293E-3</v>
      </c>
    </row>
    <row r="14" spans="2:13" x14ac:dyDescent="0.25">
      <c r="B14" s="134">
        <v>7</v>
      </c>
      <c r="C14" t="s">
        <v>174</v>
      </c>
      <c r="D14" s="374"/>
      <c r="E14" s="140">
        <f>SUM('PC5'!BT53:BW53)</f>
        <v>86266.096799999999</v>
      </c>
      <c r="F14" s="140">
        <f>SUM('PC8'!AR33:AS33)</f>
        <v>15634.414333333334</v>
      </c>
      <c r="G14" s="374"/>
      <c r="H14" s="374"/>
      <c r="I14" s="374"/>
      <c r="J14" s="374"/>
      <c r="K14" s="376"/>
      <c r="L14" s="127">
        <f t="shared" si="0"/>
        <v>101900.51113333333</v>
      </c>
      <c r="M14" s="403">
        <f t="shared" si="1"/>
        <v>5.6642986126169666E-3</v>
      </c>
    </row>
    <row r="15" spans="2:13" x14ac:dyDescent="0.25">
      <c r="B15" s="134">
        <v>8</v>
      </c>
      <c r="C15" t="s">
        <v>176</v>
      </c>
      <c r="D15" s="374"/>
      <c r="E15" s="374"/>
      <c r="F15" s="374"/>
      <c r="G15" s="140">
        <f>SUM('PC12'!AX26:AY26)</f>
        <v>24831.781191639842</v>
      </c>
      <c r="H15" s="374"/>
      <c r="I15" s="374"/>
      <c r="J15" s="374"/>
      <c r="K15" s="376"/>
      <c r="L15" s="127">
        <f t="shared" si="0"/>
        <v>24831.781191639842</v>
      </c>
      <c r="M15" s="403">
        <f t="shared" si="1"/>
        <v>1.3803132308980459E-3</v>
      </c>
    </row>
    <row r="16" spans="2:13" x14ac:dyDescent="0.25">
      <c r="B16" s="134">
        <v>9</v>
      </c>
      <c r="C16" t="s">
        <v>179</v>
      </c>
      <c r="D16" s="374"/>
      <c r="E16" s="374"/>
      <c r="F16" s="140">
        <f>SUM('PC8'!BA33:BB33)</f>
        <v>1954.3423333333333</v>
      </c>
      <c r="G16" s="374"/>
      <c r="H16" s="140">
        <f>SUM('PC15'!CE86:CI86)</f>
        <v>56226.448753093049</v>
      </c>
      <c r="I16" s="140">
        <f>SUM('PC17'!CE98:CI98)</f>
        <v>17121.980606459816</v>
      </c>
      <c r="J16" s="374"/>
      <c r="K16" s="379">
        <f>SUM('PC24'!CE46:CI46)</f>
        <v>3299.1557191716765</v>
      </c>
      <c r="L16" s="127">
        <f t="shared" si="0"/>
        <v>78601.927412057863</v>
      </c>
      <c r="M16" s="403">
        <f t="shared" si="1"/>
        <v>4.3692105509321481E-3</v>
      </c>
    </row>
    <row r="17" spans="2:13" ht="15.75" thickBot="1" x14ac:dyDescent="0.3">
      <c r="B17" s="134">
        <v>10</v>
      </c>
      <c r="C17" s="130" t="s">
        <v>180</v>
      </c>
      <c r="D17" s="375"/>
      <c r="E17" s="375"/>
      <c r="F17" s="378">
        <f>SUM('PC8'!BD33:BE33)</f>
        <v>12784.399333333333</v>
      </c>
      <c r="G17" s="375"/>
      <c r="H17" s="378">
        <f>SUM('PC15'!CK86:CO86)</f>
        <v>1310863.2642690341</v>
      </c>
      <c r="I17" s="378">
        <f>SUM('PC17'!CK98:CO98)</f>
        <v>528251.61081220431</v>
      </c>
      <c r="J17" s="375"/>
      <c r="K17" s="380">
        <f>SUM('PC24'!CK46:CO46)</f>
        <v>59397.907428189719</v>
      </c>
      <c r="L17" s="128">
        <f t="shared" si="0"/>
        <v>1911297.1818427616</v>
      </c>
      <c r="M17" s="403">
        <f t="shared" si="1"/>
        <v>0.10624243053349373</v>
      </c>
    </row>
    <row r="18" spans="2:13" ht="16.5" thickTop="1" thickBot="1" x14ac:dyDescent="0.3">
      <c r="B18" s="685"/>
      <c r="C18" s="698" t="s">
        <v>696</v>
      </c>
      <c r="D18" s="699">
        <f>'PC2'!L94</f>
        <v>54</v>
      </c>
      <c r="E18" s="699">
        <f>'PC5'!L52</f>
        <v>20</v>
      </c>
      <c r="F18" s="699">
        <f>'PC8'!L32</f>
        <v>24</v>
      </c>
      <c r="G18" s="699">
        <f>'PC12'!L25</f>
        <v>-35</v>
      </c>
      <c r="H18" s="699">
        <f>'PC15'!L85</f>
        <v>-2</v>
      </c>
      <c r="I18" s="699">
        <f>'PC17'!L97</f>
        <v>53</v>
      </c>
      <c r="J18" s="699">
        <f>'PC21'!L22</f>
        <v>-7</v>
      </c>
      <c r="K18" s="699">
        <f>'PC24'!L45</f>
        <v>-22</v>
      </c>
      <c r="L18" s="129"/>
      <c r="M18" s="403"/>
    </row>
    <row r="19" spans="2:13" s="12" customFormat="1" ht="16.5" thickTop="1" thickBot="1" x14ac:dyDescent="0.3">
      <c r="B19" s="118"/>
      <c r="C19" s="28" t="s">
        <v>719</v>
      </c>
      <c r="D19" s="29">
        <f>SUM(D8:D18)</f>
        <v>5689556</v>
      </c>
      <c r="E19" s="29">
        <f t="shared" ref="E19:K19" si="2">SUM(E8:E18)</f>
        <v>475883.99999999994</v>
      </c>
      <c r="F19" s="29">
        <f t="shared" si="2"/>
        <v>192224.00000000003</v>
      </c>
      <c r="G19" s="29">
        <f t="shared" si="2"/>
        <v>244871.99999999997</v>
      </c>
      <c r="H19" s="29">
        <f t="shared" si="2"/>
        <v>3000388</v>
      </c>
      <c r="I19" s="29">
        <f>SUM(I8:I18)</f>
        <v>7849617.0000000009</v>
      </c>
      <c r="J19" s="29">
        <f t="shared" si="2"/>
        <v>63223.999999999993</v>
      </c>
      <c r="K19" s="29">
        <f t="shared" si="2"/>
        <v>474196.00000000006</v>
      </c>
      <c r="L19" s="129">
        <f t="shared" si="0"/>
        <v>17989961</v>
      </c>
    </row>
    <row r="20" spans="2:13" ht="15.75" thickTop="1" x14ac:dyDescent="0.25">
      <c r="C20" s="586"/>
      <c r="D20" s="404"/>
      <c r="E20" s="404"/>
      <c r="F20" s="404"/>
      <c r="G20" s="404"/>
      <c r="H20" s="404"/>
      <c r="I20" s="404"/>
      <c r="J20" s="404"/>
      <c r="K20" s="404"/>
    </row>
    <row r="21" spans="2:13" ht="6" customHeight="1" x14ac:dyDescent="0.25"/>
    <row r="22" spans="2:13" ht="21" x14ac:dyDescent="0.25">
      <c r="B22" s="769" t="s">
        <v>561</v>
      </c>
      <c r="C22" s="769"/>
      <c r="D22" s="769"/>
      <c r="E22" s="769"/>
      <c r="F22" s="769"/>
      <c r="G22" s="769"/>
      <c r="H22" s="769"/>
      <c r="I22" s="769"/>
      <c r="J22" s="769"/>
      <c r="K22" s="769"/>
      <c r="L22" s="769"/>
    </row>
    <row r="23" spans="2:13" s="85" customFormat="1" ht="10.5" customHeight="1" x14ac:dyDescent="0.25">
      <c r="B23" s="133"/>
      <c r="C23" s="135"/>
      <c r="D23" s="137" t="s">
        <v>33</v>
      </c>
      <c r="E23" s="137" t="s">
        <v>34</v>
      </c>
      <c r="F23" s="137" t="s">
        <v>251</v>
      </c>
      <c r="G23" s="137" t="s">
        <v>252</v>
      </c>
      <c r="H23" s="137" t="s">
        <v>253</v>
      </c>
      <c r="I23" s="137" t="s">
        <v>254</v>
      </c>
      <c r="J23" s="137" t="s">
        <v>255</v>
      </c>
      <c r="K23" s="137" t="s">
        <v>256</v>
      </c>
      <c r="L23" s="136"/>
    </row>
    <row r="24" spans="2:13" ht="15.75" customHeight="1" thickBot="1" x14ac:dyDescent="0.3">
      <c r="B24" s="85"/>
      <c r="C24" s="449" t="s">
        <v>182</v>
      </c>
      <c r="D24" s="138" t="str">
        <f>D7</f>
        <v>J.B. Latham</v>
      </c>
      <c r="E24" s="138" t="str">
        <f t="shared" ref="E24:K24" si="3">E7</f>
        <v>SJCOO</v>
      </c>
      <c r="F24" s="138" t="str">
        <f t="shared" si="3"/>
        <v>Pre-Treatment</v>
      </c>
      <c r="G24" s="138" t="str">
        <f t="shared" si="3"/>
        <v>Recycled Water Permits</v>
      </c>
      <c r="H24" s="138" t="str">
        <f t="shared" si="3"/>
        <v>Coastal</v>
      </c>
      <c r="I24" s="138" t="str">
        <f t="shared" si="3"/>
        <v>Regional</v>
      </c>
      <c r="J24" s="138" t="str">
        <f t="shared" si="3"/>
        <v>ETM</v>
      </c>
      <c r="K24" s="138" t="str">
        <f t="shared" si="3"/>
        <v>ACOO</v>
      </c>
      <c r="L24" s="132" t="s">
        <v>187</v>
      </c>
    </row>
    <row r="25" spans="2:13" x14ac:dyDescent="0.25">
      <c r="B25" s="134">
        <v>1</v>
      </c>
      <c r="C25" t="s">
        <v>166</v>
      </c>
      <c r="D25" s="140">
        <v>1505172</v>
      </c>
      <c r="E25" s="140">
        <v>74716</v>
      </c>
      <c r="F25" s="140">
        <v>14692</v>
      </c>
      <c r="G25" s="140">
        <v>24620</v>
      </c>
      <c r="H25" s="374"/>
      <c r="I25" s="374"/>
      <c r="J25" s="374"/>
      <c r="K25" s="377"/>
      <c r="L25" s="127">
        <f t="shared" ref="L25:L35" si="4">SUM(D25:K25)</f>
        <v>1619200</v>
      </c>
      <c r="M25" s="403">
        <f>L25/$L$19</f>
        <v>9.0005753764557911E-2</v>
      </c>
    </row>
    <row r="26" spans="2:13" x14ac:dyDescent="0.25">
      <c r="B26" s="134">
        <v>2</v>
      </c>
      <c r="C26" t="s">
        <v>167</v>
      </c>
      <c r="D26" s="140">
        <v>1034700</v>
      </c>
      <c r="E26" s="140">
        <v>75632</v>
      </c>
      <c r="F26" s="140">
        <v>41668</v>
      </c>
      <c r="G26" s="140">
        <v>67800</v>
      </c>
      <c r="H26" s="140">
        <v>275196</v>
      </c>
      <c r="I26" s="140">
        <f>6298376+(1/5)</f>
        <v>6298376.2000000002</v>
      </c>
      <c r="J26" s="140">
        <v>11144</v>
      </c>
      <c r="K26" s="379">
        <v>174428</v>
      </c>
      <c r="L26" s="127">
        <f t="shared" si="4"/>
        <v>7978944.2000000002</v>
      </c>
      <c r="M26" s="403">
        <f t="shared" ref="M26:M34" si="5">L26/$L$19</f>
        <v>0.44352203987546168</v>
      </c>
    </row>
    <row r="27" spans="2:13" x14ac:dyDescent="0.25">
      <c r="B27" s="134">
        <v>3</v>
      </c>
      <c r="C27" t="s">
        <v>168</v>
      </c>
      <c r="D27" s="140">
        <v>1311176</v>
      </c>
      <c r="E27" s="140">
        <v>65344</v>
      </c>
      <c r="F27" s="140">
        <v>33684</v>
      </c>
      <c r="G27" s="140">
        <v>27984</v>
      </c>
      <c r="H27" s="140">
        <v>1360664</v>
      </c>
      <c r="I27" s="140">
        <f>358752+(1/5)</f>
        <v>358752.2</v>
      </c>
      <c r="J27" s="374"/>
      <c r="K27" s="379">
        <v>46496</v>
      </c>
      <c r="L27" s="127">
        <f t="shared" si="4"/>
        <v>3204100.2</v>
      </c>
      <c r="M27" s="403">
        <f t="shared" si="5"/>
        <v>0.17810489972713117</v>
      </c>
    </row>
    <row r="28" spans="2:13" x14ac:dyDescent="0.25">
      <c r="B28" s="134">
        <v>4</v>
      </c>
      <c r="C28" t="s">
        <v>169</v>
      </c>
      <c r="D28" s="140">
        <v>1838508</v>
      </c>
      <c r="E28" s="140">
        <v>173280</v>
      </c>
      <c r="F28" s="140">
        <v>44136</v>
      </c>
      <c r="G28" s="140">
        <v>74320</v>
      </c>
      <c r="H28" s="374"/>
      <c r="I28" s="374"/>
      <c r="J28" s="374"/>
      <c r="K28" s="376"/>
      <c r="L28" s="127">
        <f t="shared" si="4"/>
        <v>2130244</v>
      </c>
      <c r="M28" s="403">
        <f t="shared" si="5"/>
        <v>0.11841293041157788</v>
      </c>
    </row>
    <row r="29" spans="2:13" x14ac:dyDescent="0.25">
      <c r="B29" s="134">
        <v>5</v>
      </c>
      <c r="C29" t="s">
        <v>170</v>
      </c>
      <c r="D29" s="374"/>
      <c r="E29" s="374"/>
      <c r="F29" s="140">
        <v>9184</v>
      </c>
      <c r="G29" s="374"/>
      <c r="H29" s="374"/>
      <c r="I29" s="140">
        <f>654264+1/5</f>
        <v>654264.19999999995</v>
      </c>
      <c r="J29" s="140">
        <v>26040</v>
      </c>
      <c r="K29" s="379">
        <v>94584</v>
      </c>
      <c r="L29" s="127">
        <f t="shared" si="4"/>
        <v>784072.2</v>
      </c>
      <c r="M29" s="403">
        <f t="shared" si="5"/>
        <v>4.3583874361928857E-2</v>
      </c>
    </row>
    <row r="30" spans="2:13" x14ac:dyDescent="0.25">
      <c r="B30" s="134">
        <v>6</v>
      </c>
      <c r="C30" t="s">
        <v>172</v>
      </c>
      <c r="D30" s="374"/>
      <c r="E30" s="374"/>
      <c r="F30" s="140">
        <v>18488</v>
      </c>
      <c r="G30" s="140">
        <v>25324</v>
      </c>
      <c r="H30" s="374"/>
      <c r="I30" s="374"/>
      <c r="J30" s="140">
        <v>26040</v>
      </c>
      <c r="K30" s="379">
        <v>92284</v>
      </c>
      <c r="L30" s="127">
        <f t="shared" si="4"/>
        <v>162136</v>
      </c>
      <c r="M30" s="403">
        <f t="shared" si="5"/>
        <v>9.0125820728571889E-3</v>
      </c>
    </row>
    <row r="31" spans="2:13" x14ac:dyDescent="0.25">
      <c r="B31" s="134">
        <v>7</v>
      </c>
      <c r="C31" t="s">
        <v>174</v>
      </c>
      <c r="D31" s="374"/>
      <c r="E31" s="140">
        <v>86912</v>
      </c>
      <c r="F31" s="140">
        <v>15636</v>
      </c>
      <c r="G31" s="374"/>
      <c r="H31" s="374"/>
      <c r="I31" s="374"/>
      <c r="J31" s="374"/>
      <c r="K31" s="376"/>
      <c r="L31" s="127">
        <f t="shared" si="4"/>
        <v>102548</v>
      </c>
      <c r="M31" s="403">
        <f t="shared" si="5"/>
        <v>5.7002902896787829E-3</v>
      </c>
    </row>
    <row r="32" spans="2:13" x14ac:dyDescent="0.25">
      <c r="B32" s="134">
        <v>8</v>
      </c>
      <c r="C32" t="s">
        <v>176</v>
      </c>
      <c r="D32" s="374"/>
      <c r="E32" s="374"/>
      <c r="F32" s="374"/>
      <c r="G32" s="140">
        <v>24824</v>
      </c>
      <c r="H32" s="374"/>
      <c r="I32" s="374"/>
      <c r="J32" s="374"/>
      <c r="K32" s="376"/>
      <c r="L32" s="127">
        <f t="shared" si="4"/>
        <v>24824</v>
      </c>
      <c r="M32" s="403">
        <f t="shared" si="5"/>
        <v>1.3798807012422095E-3</v>
      </c>
    </row>
    <row r="33" spans="2:14" x14ac:dyDescent="0.25">
      <c r="B33" s="134">
        <v>9</v>
      </c>
      <c r="C33" t="s">
        <v>179</v>
      </c>
      <c r="D33" s="374"/>
      <c r="E33" s="374"/>
      <c r="F33" s="140">
        <v>1956</v>
      </c>
      <c r="G33" s="374"/>
      <c r="H33" s="140">
        <v>55732</v>
      </c>
      <c r="I33" s="140">
        <f>16864+(1/5)</f>
        <v>16864.2</v>
      </c>
      <c r="J33" s="374"/>
      <c r="K33" s="379">
        <v>3080</v>
      </c>
      <c r="L33" s="127">
        <f t="shared" si="4"/>
        <v>77632.2</v>
      </c>
      <c r="M33" s="403">
        <f t="shared" si="5"/>
        <v>4.3153067424659781E-3</v>
      </c>
    </row>
    <row r="34" spans="2:14" ht="15.75" thickBot="1" x14ac:dyDescent="0.3">
      <c r="B34" s="134">
        <v>10</v>
      </c>
      <c r="C34" s="130" t="s">
        <v>180</v>
      </c>
      <c r="D34" s="375"/>
      <c r="E34" s="375"/>
      <c r="F34" s="378">
        <v>12780</v>
      </c>
      <c r="G34" s="375"/>
      <c r="H34" s="378">
        <v>1308796</v>
      </c>
      <c r="I34" s="378">
        <f>521360+(1/5)</f>
        <v>521360.2</v>
      </c>
      <c r="J34" s="375"/>
      <c r="K34" s="380">
        <v>63324</v>
      </c>
      <c r="L34" s="128">
        <f t="shared" si="4"/>
        <v>1906260.2</v>
      </c>
      <c r="M34" s="403">
        <f t="shared" si="5"/>
        <v>0.10596244205309839</v>
      </c>
    </row>
    <row r="35" spans="2:14" s="12" customFormat="1" ht="16.5" thickTop="1" thickBot="1" x14ac:dyDescent="0.3">
      <c r="B35" s="118"/>
      <c r="C35" s="131" t="s">
        <v>719</v>
      </c>
      <c r="D35" s="29">
        <f>SUM(D25:D34)</f>
        <v>5689556</v>
      </c>
      <c r="E35" s="29">
        <f>SUM(E25:E34)</f>
        <v>475884</v>
      </c>
      <c r="F35" s="29">
        <f t="shared" ref="F35:K35" si="6">SUM(F25:F34)</f>
        <v>192224</v>
      </c>
      <c r="G35" s="29">
        <f t="shared" si="6"/>
        <v>244872</v>
      </c>
      <c r="H35" s="29">
        <f t="shared" si="6"/>
        <v>3000388</v>
      </c>
      <c r="I35" s="29">
        <f t="shared" si="6"/>
        <v>7849617.0000000009</v>
      </c>
      <c r="J35" s="29">
        <f t="shared" si="6"/>
        <v>63224</v>
      </c>
      <c r="K35" s="29">
        <f t="shared" si="6"/>
        <v>474196</v>
      </c>
      <c r="L35" s="129">
        <f t="shared" si="4"/>
        <v>17989961</v>
      </c>
    </row>
    <row r="36" spans="2:14" ht="21.75" thickTop="1" x14ac:dyDescent="0.25">
      <c r="B36" s="583"/>
      <c r="C36" s="586"/>
      <c r="D36" s="453"/>
      <c r="E36" s="583"/>
      <c r="F36" s="583"/>
      <c r="G36" s="583"/>
      <c r="H36" s="453"/>
      <c r="I36" s="453"/>
      <c r="J36" s="453"/>
      <c r="K36" s="453"/>
      <c r="L36" s="583"/>
    </row>
    <row r="37" spans="2:14" ht="6" customHeight="1" x14ac:dyDescent="0.25"/>
    <row r="38" spans="2:14" ht="21" x14ac:dyDescent="0.25">
      <c r="B38" s="779" t="s">
        <v>717</v>
      </c>
      <c r="C38" s="780"/>
      <c r="D38" s="780"/>
      <c r="E38" s="780"/>
      <c r="F38" s="780"/>
      <c r="G38" s="780"/>
      <c r="H38" s="780"/>
      <c r="I38" s="780"/>
      <c r="J38" s="780"/>
      <c r="K38" s="780"/>
      <c r="L38" s="780"/>
    </row>
    <row r="39" spans="2:14" ht="12.75" customHeight="1" x14ac:dyDescent="0.25">
      <c r="B39" s="133"/>
      <c r="C39" s="781" t="s">
        <v>697</v>
      </c>
      <c r="D39" s="781"/>
      <c r="E39" s="781"/>
      <c r="F39" s="781"/>
      <c r="G39" s="781"/>
      <c r="H39" s="781"/>
      <c r="I39" s="781"/>
      <c r="J39" s="781"/>
      <c r="K39" s="781"/>
      <c r="L39" s="781"/>
      <c r="M39" s="85"/>
    </row>
    <row r="40" spans="2:14" ht="45.75" thickBot="1" x14ac:dyDescent="0.3">
      <c r="B40" s="85"/>
      <c r="C40" s="445" t="s">
        <v>182</v>
      </c>
      <c r="D40" s="446" t="s">
        <v>704</v>
      </c>
      <c r="E40" s="446" t="s">
        <v>687</v>
      </c>
      <c r="F40" s="446" t="s">
        <v>735</v>
      </c>
      <c r="G40" s="446" t="s">
        <v>734</v>
      </c>
      <c r="H40" s="446" t="s">
        <v>688</v>
      </c>
      <c r="I40" s="446" t="s">
        <v>689</v>
      </c>
      <c r="J40" s="446" t="s">
        <v>690</v>
      </c>
      <c r="K40" s="447" t="s">
        <v>691</v>
      </c>
      <c r="L40" s="132" t="s">
        <v>685</v>
      </c>
      <c r="M40" s="448" t="s">
        <v>686</v>
      </c>
      <c r="N40" s="85"/>
    </row>
    <row r="41" spans="2:14" x14ac:dyDescent="0.25">
      <c r="B41" s="134">
        <v>1</v>
      </c>
      <c r="C41" t="s">
        <v>166</v>
      </c>
      <c r="D41" s="140">
        <f t="shared" ref="D41:E44" si="7">D8-D25</f>
        <v>2030.5920985999983</v>
      </c>
      <c r="E41" s="140">
        <f t="shared" si="7"/>
        <v>-9041.7688000000053</v>
      </c>
      <c r="F41" s="782" t="s">
        <v>718</v>
      </c>
      <c r="G41" s="782" t="s">
        <v>718</v>
      </c>
      <c r="H41" s="374"/>
      <c r="I41" s="374"/>
      <c r="J41" s="782" t="s">
        <v>718</v>
      </c>
      <c r="K41" s="374"/>
      <c r="L41" s="127">
        <f t="shared" ref="L41:L50" si="8">L8-L25</f>
        <v>-7018.6414094700012</v>
      </c>
      <c r="M41" s="444">
        <f t="shared" ref="M41:M50" si="9">L41/L25</f>
        <v>-4.3346352578248525E-3</v>
      </c>
    </row>
    <row r="42" spans="2:14" x14ac:dyDescent="0.25">
      <c r="B42" s="134">
        <v>2</v>
      </c>
      <c r="C42" t="s">
        <v>167</v>
      </c>
      <c r="D42" s="140">
        <f t="shared" si="7"/>
        <v>2152.9579699999886</v>
      </c>
      <c r="E42" s="140">
        <f t="shared" si="7"/>
        <v>567.00639999998384</v>
      </c>
      <c r="F42" s="783"/>
      <c r="G42" s="783"/>
      <c r="H42" s="140">
        <f>H9-H26</f>
        <v>5251.1949079999467</v>
      </c>
      <c r="I42" s="140">
        <f>I9-I26</f>
        <v>-21048.802809753455</v>
      </c>
      <c r="J42" s="783"/>
      <c r="K42" s="140">
        <f>K9-K26</f>
        <v>11807.529180542711</v>
      </c>
      <c r="L42" s="127">
        <f t="shared" si="8"/>
        <v>-1277.2026984533295</v>
      </c>
      <c r="M42" s="444">
        <f t="shared" si="9"/>
        <v>-1.6007164186626716E-4</v>
      </c>
    </row>
    <row r="43" spans="2:14" x14ac:dyDescent="0.25">
      <c r="B43" s="134">
        <v>3</v>
      </c>
      <c r="C43" t="s">
        <v>168</v>
      </c>
      <c r="D43" s="140">
        <f t="shared" si="7"/>
        <v>618.66464360011742</v>
      </c>
      <c r="E43" s="140">
        <f t="shared" si="7"/>
        <v>-2581.7592000000004</v>
      </c>
      <c r="F43" s="783"/>
      <c r="G43" s="783"/>
      <c r="H43" s="140">
        <f>H10-H27</f>
        <v>-7810.9079301271122</v>
      </c>
      <c r="I43" s="140">
        <f>I10-I27</f>
        <v>4880.7456541938591</v>
      </c>
      <c r="J43" s="783"/>
      <c r="K43" s="140">
        <f>K10-K27</f>
        <v>4184.6084423513748</v>
      </c>
      <c r="L43" s="127">
        <f t="shared" si="8"/>
        <v>-700.12628198368475</v>
      </c>
      <c r="M43" s="444">
        <f t="shared" si="9"/>
        <v>-2.1850948418644482E-4</v>
      </c>
    </row>
    <row r="44" spans="2:14" x14ac:dyDescent="0.25">
      <c r="B44" s="134">
        <v>4</v>
      </c>
      <c r="C44" t="s">
        <v>169</v>
      </c>
      <c r="D44" s="140">
        <f t="shared" si="7"/>
        <v>-4856.2147121999878</v>
      </c>
      <c r="E44" s="140">
        <f t="shared" si="7"/>
        <v>11682.424799999979</v>
      </c>
      <c r="F44" s="783"/>
      <c r="G44" s="783"/>
      <c r="H44" s="374"/>
      <c r="I44" s="374"/>
      <c r="J44" s="783"/>
      <c r="K44" s="374"/>
      <c r="L44" s="127">
        <f t="shared" si="8"/>
        <v>6834.6863196510822</v>
      </c>
      <c r="M44" s="444">
        <f t="shared" si="9"/>
        <v>3.2084053843837055E-3</v>
      </c>
    </row>
    <row r="45" spans="2:14" x14ac:dyDescent="0.25">
      <c r="B45" s="134">
        <v>5</v>
      </c>
      <c r="C45" t="s">
        <v>170</v>
      </c>
      <c r="D45" s="374"/>
      <c r="E45" s="374"/>
      <c r="F45" s="783"/>
      <c r="G45" s="783"/>
      <c r="H45" s="374"/>
      <c r="I45" s="140">
        <f>I12-I29</f>
        <v>8965.8657368961722</v>
      </c>
      <c r="J45" s="783"/>
      <c r="K45" s="140">
        <f>K12-K29</f>
        <v>-6082.8732582231169</v>
      </c>
      <c r="L45" s="127">
        <f t="shared" si="8"/>
        <v>2877.5894020062406</v>
      </c>
      <c r="M45" s="444">
        <f t="shared" si="9"/>
        <v>3.6700566631570927E-3</v>
      </c>
    </row>
    <row r="46" spans="2:14" x14ac:dyDescent="0.25">
      <c r="B46" s="134">
        <v>6</v>
      </c>
      <c r="C46" t="s">
        <v>172</v>
      </c>
      <c r="D46" s="374"/>
      <c r="E46" s="374"/>
      <c r="F46" s="783"/>
      <c r="G46" s="783"/>
      <c r="H46" s="374"/>
      <c r="I46" s="374"/>
      <c r="J46" s="783"/>
      <c r="K46" s="140">
        <f>K13-K30</f>
        <v>-6180.3275120323087</v>
      </c>
      <c r="L46" s="127">
        <f t="shared" si="8"/>
        <v>-6168.3069115423714</v>
      </c>
      <c r="M46" s="444">
        <f t="shared" si="9"/>
        <v>-3.8044030391414435E-2</v>
      </c>
    </row>
    <row r="47" spans="2:14" x14ac:dyDescent="0.25">
      <c r="B47" s="134">
        <v>7</v>
      </c>
      <c r="C47" t="s">
        <v>174</v>
      </c>
      <c r="D47" s="374"/>
      <c r="E47" s="140">
        <f>E14-E31</f>
        <v>-645.90320000000065</v>
      </c>
      <c r="F47" s="783"/>
      <c r="G47" s="783"/>
      <c r="H47" s="374"/>
      <c r="I47" s="374"/>
      <c r="J47" s="783"/>
      <c r="K47" s="374"/>
      <c r="L47" s="127">
        <f t="shared" si="8"/>
        <v>-647.48886666666658</v>
      </c>
      <c r="M47" s="444">
        <f t="shared" si="9"/>
        <v>-6.3140077492166262E-3</v>
      </c>
    </row>
    <row r="48" spans="2:14" x14ac:dyDescent="0.25">
      <c r="B48" s="134">
        <v>8</v>
      </c>
      <c r="C48" t="s">
        <v>176</v>
      </c>
      <c r="D48" s="374"/>
      <c r="E48" s="374"/>
      <c r="F48" s="783"/>
      <c r="G48" s="783"/>
      <c r="H48" s="374"/>
      <c r="I48" s="374"/>
      <c r="J48" s="783"/>
      <c r="K48" s="374"/>
      <c r="L48" s="127">
        <f t="shared" si="8"/>
        <v>7.7811916398422909</v>
      </c>
      <c r="M48" s="444">
        <f t="shared" si="9"/>
        <v>3.1345438446029212E-4</v>
      </c>
    </row>
    <row r="49" spans="2:13" x14ac:dyDescent="0.25">
      <c r="B49" s="134">
        <v>9</v>
      </c>
      <c r="C49" t="s">
        <v>179</v>
      </c>
      <c r="D49" s="374"/>
      <c r="E49" s="374"/>
      <c r="F49" s="783"/>
      <c r="G49" s="783"/>
      <c r="H49" s="140">
        <f>H16-H33</f>
        <v>494.44875309304916</v>
      </c>
      <c r="I49" s="140">
        <f>I16-I33</f>
        <v>257.78060645981532</v>
      </c>
      <c r="J49" s="783"/>
      <c r="K49" s="140">
        <f>K16-K33</f>
        <v>219.15571917167654</v>
      </c>
      <c r="L49" s="127">
        <f t="shared" si="8"/>
        <v>969.72741205786588</v>
      </c>
      <c r="M49" s="444">
        <f t="shared" si="9"/>
        <v>1.249130402149966E-2</v>
      </c>
    </row>
    <row r="50" spans="2:13" ht="15.75" thickBot="1" x14ac:dyDescent="0.3">
      <c r="B50" s="134">
        <v>10</v>
      </c>
      <c r="C50" s="130" t="s">
        <v>180</v>
      </c>
      <c r="D50" s="374"/>
      <c r="E50" s="374"/>
      <c r="F50" s="784"/>
      <c r="G50" s="784"/>
      <c r="H50" s="140">
        <f>H17-H34</f>
        <v>2067.2642690341454</v>
      </c>
      <c r="I50" s="140">
        <f>I17-I34</f>
        <v>6891.4108122042962</v>
      </c>
      <c r="J50" s="784"/>
      <c r="K50" s="140">
        <f>K17-K34</f>
        <v>-3926.0925718102808</v>
      </c>
      <c r="L50" s="127">
        <f t="shared" si="8"/>
        <v>5036.9818427616265</v>
      </c>
      <c r="M50" s="444">
        <f t="shared" si="9"/>
        <v>2.6423369919602929E-3</v>
      </c>
    </row>
    <row r="51" spans="2:13" ht="16.5" thickTop="1" thickBot="1" x14ac:dyDescent="0.3">
      <c r="B51" s="118"/>
      <c r="C51" s="131" t="s">
        <v>720</v>
      </c>
      <c r="D51" s="270">
        <f>D19-D35</f>
        <v>0</v>
      </c>
      <c r="E51" s="270">
        <f t="shared" ref="E51:K51" si="10">E19-E35</f>
        <v>0</v>
      </c>
      <c r="F51" s="270">
        <f t="shared" si="10"/>
        <v>0</v>
      </c>
      <c r="G51" s="270">
        <f t="shared" si="10"/>
        <v>0</v>
      </c>
      <c r="H51" s="270">
        <f t="shared" si="10"/>
        <v>0</v>
      </c>
      <c r="I51" s="270">
        <f>I19-I35</f>
        <v>0</v>
      </c>
      <c r="J51" s="270">
        <f t="shared" si="10"/>
        <v>0</v>
      </c>
      <c r="K51" s="270">
        <f t="shared" si="10"/>
        <v>0</v>
      </c>
      <c r="L51" s="129">
        <f>SUM(D51:K51)</f>
        <v>0</v>
      </c>
      <c r="M51" s="12"/>
    </row>
    <row r="52" spans="2:13" ht="15.75" thickTop="1" x14ac:dyDescent="0.25">
      <c r="C52" s="581"/>
      <c r="D52" s="587"/>
      <c r="E52" s="587"/>
      <c r="F52" s="587"/>
      <c r="G52" s="587"/>
      <c r="H52" s="587"/>
      <c r="I52" s="587"/>
      <c r="J52" s="587"/>
      <c r="K52" s="587"/>
    </row>
    <row r="53" spans="2:13" ht="15.75" thickBot="1" x14ac:dyDescent="0.3">
      <c r="D53" s="429"/>
      <c r="E53" s="429"/>
      <c r="F53" s="429"/>
      <c r="G53" s="429"/>
      <c r="H53" s="429"/>
      <c r="I53" s="429"/>
      <c r="J53" s="429"/>
    </row>
    <row r="54" spans="2:13" x14ac:dyDescent="0.25">
      <c r="D54" s="429"/>
      <c r="E54" s="429"/>
      <c r="F54" s="441"/>
      <c r="G54" s="773" t="s">
        <v>682</v>
      </c>
      <c r="H54" s="774"/>
      <c r="I54" s="774"/>
      <c r="J54" s="775"/>
    </row>
    <row r="55" spans="2:13" x14ac:dyDescent="0.25">
      <c r="F55" s="442"/>
      <c r="G55" s="776" t="s">
        <v>683</v>
      </c>
      <c r="H55" s="777"/>
      <c r="I55" s="777"/>
      <c r="J55" s="778"/>
    </row>
    <row r="56" spans="2:13" ht="15.75" thickBot="1" x14ac:dyDescent="0.3">
      <c r="F56" s="442"/>
      <c r="G56" s="770" t="s">
        <v>684</v>
      </c>
      <c r="H56" s="771"/>
      <c r="I56" s="771"/>
      <c r="J56" s="772"/>
    </row>
  </sheetData>
  <mergeCells count="12">
    <mergeCell ref="B2:L2"/>
    <mergeCell ref="B3:L3"/>
    <mergeCell ref="B22:L22"/>
    <mergeCell ref="G56:J56"/>
    <mergeCell ref="G54:J54"/>
    <mergeCell ref="G55:J55"/>
    <mergeCell ref="B5:L5"/>
    <mergeCell ref="B38:L38"/>
    <mergeCell ref="C39:L39"/>
    <mergeCell ref="F41:F50"/>
    <mergeCell ref="G41:G50"/>
    <mergeCell ref="J41:J50"/>
  </mergeCells>
  <conditionalFormatting sqref="L51 D41:E50 H41:I50 K41:L50">
    <cfRule type="cellIs" dxfId="703" priority="7" operator="greaterThan">
      <formula>0</formula>
    </cfRule>
    <cfRule type="cellIs" dxfId="702" priority="8" operator="lessThan">
      <formula>0</formula>
    </cfRule>
  </conditionalFormatting>
  <conditionalFormatting sqref="F56">
    <cfRule type="cellIs" dxfId="701" priority="3" operator="greaterThan">
      <formula>0</formula>
    </cfRule>
    <cfRule type="cellIs" dxfId="700" priority="4" operator="lessThan">
      <formula>0</formula>
    </cfRule>
  </conditionalFormatting>
  <conditionalFormatting sqref="F55">
    <cfRule type="cellIs" dxfId="699" priority="5" operator="greaterThan">
      <formula>0</formula>
    </cfRule>
    <cfRule type="cellIs" dxfId="698" priority="6" operator="lessThan">
      <formula>0</formula>
    </cfRule>
  </conditionalFormatting>
  <pageMargins left="0.25" right="0.25" top="0.75" bottom="0.75" header="0.3" footer="0.3"/>
  <pageSetup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B2:U45"/>
  <sheetViews>
    <sheetView showGridLines="0" zoomScale="86" zoomScaleNormal="90" workbookViewId="0">
      <selection activeCell="V23" sqref="V23"/>
    </sheetView>
  </sheetViews>
  <sheetFormatPr defaultRowHeight="15" x14ac:dyDescent="0.25"/>
  <cols>
    <col min="2" max="2" width="6.85546875" customWidth="1"/>
    <col min="3" max="3" width="24.85546875" customWidth="1"/>
    <col min="4" max="4" width="0.5703125" style="85" customWidth="1"/>
    <col min="5" max="9" width="11.42578125" bestFit="1" customWidth="1"/>
    <col min="10" max="10" width="0.5703125" style="43" customWidth="1"/>
    <col min="11" max="12" width="11.85546875" customWidth="1"/>
    <col min="13" max="13" width="0.5703125" style="43" customWidth="1"/>
    <col min="14" max="14" width="11.7109375" customWidth="1"/>
    <col min="15" max="15" width="0.5703125" style="43" customWidth="1"/>
    <col min="16" max="16" width="15.7109375" style="43" bestFit="1" customWidth="1"/>
    <col min="17" max="17" width="14" bestFit="1" customWidth="1"/>
  </cols>
  <sheetData>
    <row r="2" spans="2:17" ht="18" thickBot="1" x14ac:dyDescent="0.3">
      <c r="E2" s="792" t="s">
        <v>715</v>
      </c>
      <c r="F2" s="792"/>
      <c r="G2" s="792"/>
      <c r="H2" s="792"/>
      <c r="I2" s="792"/>
      <c r="J2" s="792"/>
      <c r="K2" s="792"/>
      <c r="L2" s="792"/>
      <c r="M2" s="792"/>
      <c r="N2" s="792"/>
      <c r="O2" s="726"/>
      <c r="P2" s="726"/>
    </row>
    <row r="3" spans="2:17" ht="16.5" thickTop="1" thickBot="1" x14ac:dyDescent="0.3">
      <c r="E3" s="785" t="s">
        <v>722</v>
      </c>
      <c r="F3" s="785"/>
      <c r="G3" s="785"/>
      <c r="H3" s="785"/>
      <c r="I3" s="785"/>
      <c r="J3" s="723"/>
      <c r="K3" s="785" t="s">
        <v>723</v>
      </c>
      <c r="L3" s="785"/>
      <c r="M3" s="723"/>
      <c r="N3" s="445" t="s">
        <v>724</v>
      </c>
      <c r="O3" s="727"/>
    </row>
    <row r="4" spans="2:17" x14ac:dyDescent="0.25">
      <c r="E4" s="166" t="s">
        <v>4</v>
      </c>
      <c r="F4" s="166" t="s">
        <v>3</v>
      </c>
      <c r="G4" s="166" t="s">
        <v>32</v>
      </c>
      <c r="H4" s="167" t="s">
        <v>6</v>
      </c>
      <c r="I4" s="167" t="s">
        <v>5</v>
      </c>
      <c r="J4" s="220"/>
      <c r="K4" s="166" t="s">
        <v>700</v>
      </c>
      <c r="L4" s="167" t="s">
        <v>701</v>
      </c>
      <c r="M4" s="220"/>
      <c r="N4" s="190" t="s">
        <v>721</v>
      </c>
      <c r="O4" s="725"/>
      <c r="P4" s="736" t="s">
        <v>696</v>
      </c>
      <c r="Q4" s="736" t="s">
        <v>726</v>
      </c>
    </row>
    <row r="5" spans="2:17" x14ac:dyDescent="0.25">
      <c r="B5" s="628" t="s">
        <v>33</v>
      </c>
      <c r="C5" s="628" t="s">
        <v>707</v>
      </c>
      <c r="D5" s="724"/>
      <c r="E5" s="629">
        <v>2500731.4739999999</v>
      </c>
      <c r="F5" s="629">
        <v>1993963.1240000003</v>
      </c>
      <c r="G5" s="630"/>
      <c r="H5" s="629">
        <v>597403.70100000012</v>
      </c>
      <c r="I5" s="629">
        <v>597403.70100000012</v>
      </c>
      <c r="J5" s="720"/>
      <c r="K5" s="631"/>
      <c r="L5" s="631"/>
      <c r="M5" s="721"/>
      <c r="N5" s="631"/>
      <c r="O5" s="721"/>
      <c r="P5" s="632">
        <f>P18</f>
        <v>54</v>
      </c>
      <c r="Q5" s="746">
        <f>SUM(E5:P5)</f>
        <v>5689556.0000000009</v>
      </c>
    </row>
    <row r="6" spans="2:17" x14ac:dyDescent="0.25">
      <c r="B6" s="628" t="s">
        <v>34</v>
      </c>
      <c r="C6" s="628" t="s">
        <v>708</v>
      </c>
      <c r="D6" s="724"/>
      <c r="E6" s="631"/>
      <c r="F6" s="631"/>
      <c r="G6" s="631"/>
      <c r="H6" s="631"/>
      <c r="I6" s="631"/>
      <c r="J6" s="721"/>
      <c r="K6" s="632">
        <v>309491</v>
      </c>
      <c r="L6" s="632">
        <v>166373</v>
      </c>
      <c r="M6" s="721"/>
      <c r="N6" s="631"/>
      <c r="O6" s="721"/>
      <c r="P6" s="60">
        <f t="shared" ref="P6:P12" si="0">P19</f>
        <v>20</v>
      </c>
      <c r="Q6" s="747">
        <f t="shared" ref="Q6:Q12" si="1">SUM(E6:P6)</f>
        <v>475884</v>
      </c>
    </row>
    <row r="7" spans="2:17" x14ac:dyDescent="0.25">
      <c r="B7" s="628" t="s">
        <v>251</v>
      </c>
      <c r="C7" s="628" t="s">
        <v>260</v>
      </c>
      <c r="D7" s="724"/>
      <c r="E7" s="631"/>
      <c r="F7" s="631"/>
      <c r="G7" s="631"/>
      <c r="H7" s="631"/>
      <c r="I7" s="631"/>
      <c r="J7" s="721"/>
      <c r="K7" s="631"/>
      <c r="L7" s="631"/>
      <c r="M7" s="721"/>
      <c r="N7" s="639">
        <v>192200</v>
      </c>
      <c r="O7" s="721"/>
      <c r="P7" s="632">
        <f t="shared" si="0"/>
        <v>24</v>
      </c>
      <c r="Q7" s="746">
        <f t="shared" si="1"/>
        <v>192224</v>
      </c>
    </row>
    <row r="8" spans="2:17" x14ac:dyDescent="0.25">
      <c r="B8" s="628" t="s">
        <v>252</v>
      </c>
      <c r="C8" s="628" t="s">
        <v>692</v>
      </c>
      <c r="D8" s="724"/>
      <c r="E8" s="631"/>
      <c r="F8" s="631"/>
      <c r="G8" s="631"/>
      <c r="H8" s="631"/>
      <c r="I8" s="631"/>
      <c r="J8" s="721"/>
      <c r="K8" s="631"/>
      <c r="L8" s="631"/>
      <c r="M8" s="721"/>
      <c r="N8" s="639">
        <v>244907</v>
      </c>
      <c r="O8" s="721"/>
      <c r="P8" s="60">
        <f t="shared" si="0"/>
        <v>-35</v>
      </c>
      <c r="Q8" s="746">
        <f t="shared" si="1"/>
        <v>244872</v>
      </c>
    </row>
    <row r="9" spans="2:17" x14ac:dyDescent="0.25">
      <c r="B9" s="628" t="s">
        <v>253</v>
      </c>
      <c r="C9" s="628" t="s">
        <v>257</v>
      </c>
      <c r="D9" s="724"/>
      <c r="E9" s="631"/>
      <c r="F9" s="632">
        <v>1680515.8879999998</v>
      </c>
      <c r="G9" s="632">
        <v>378465.92800000007</v>
      </c>
      <c r="H9" s="631"/>
      <c r="I9" s="632">
        <v>941408.18399999989</v>
      </c>
      <c r="J9" s="721"/>
      <c r="K9" s="631"/>
      <c r="L9" s="631"/>
      <c r="M9" s="721"/>
      <c r="N9" s="631"/>
      <c r="O9" s="721"/>
      <c r="P9" s="632">
        <f t="shared" si="0"/>
        <v>-2</v>
      </c>
      <c r="Q9" s="746">
        <f t="shared" si="1"/>
        <v>3000388</v>
      </c>
    </row>
    <row r="10" spans="2:17" x14ac:dyDescent="0.25">
      <c r="B10" s="628" t="s">
        <v>254</v>
      </c>
      <c r="C10" s="628" t="s">
        <v>558</v>
      </c>
      <c r="D10" s="724"/>
      <c r="E10" s="632">
        <v>3529814.5135000004</v>
      </c>
      <c r="F10" s="632">
        <v>2175392.4482499999</v>
      </c>
      <c r="G10" s="632">
        <v>858751.73124999995</v>
      </c>
      <c r="H10" s="632">
        <v>641697.65350000001</v>
      </c>
      <c r="I10" s="632">
        <v>643907.65350000001</v>
      </c>
      <c r="J10" s="721"/>
      <c r="K10" s="631"/>
      <c r="L10" s="631"/>
      <c r="M10" s="721"/>
      <c r="N10" s="631"/>
      <c r="O10" s="721"/>
      <c r="P10" s="60">
        <f t="shared" si="0"/>
        <v>53</v>
      </c>
      <c r="Q10" s="747">
        <f t="shared" si="1"/>
        <v>7849617.0000000009</v>
      </c>
    </row>
    <row r="11" spans="2:17" x14ac:dyDescent="0.25">
      <c r="B11" s="628" t="s">
        <v>255</v>
      </c>
      <c r="C11" s="628" t="s">
        <v>537</v>
      </c>
      <c r="D11" s="724"/>
      <c r="E11" s="631"/>
      <c r="F11" s="631"/>
      <c r="G11" s="631"/>
      <c r="H11" s="631"/>
      <c r="I11" s="631"/>
      <c r="J11" s="721"/>
      <c r="K11" s="631"/>
      <c r="L11" s="631"/>
      <c r="M11" s="721"/>
      <c r="N11" s="639">
        <v>63231</v>
      </c>
      <c r="O11" s="721"/>
      <c r="P11" s="632">
        <f t="shared" si="0"/>
        <v>-7</v>
      </c>
      <c r="Q11" s="746">
        <f t="shared" si="1"/>
        <v>63224</v>
      </c>
    </row>
    <row r="12" spans="2:17" ht="15.75" thickBot="1" x14ac:dyDescent="0.3">
      <c r="B12" s="633" t="s">
        <v>256</v>
      </c>
      <c r="C12" s="633" t="s">
        <v>709</v>
      </c>
      <c r="D12" s="724"/>
      <c r="E12" s="634"/>
      <c r="F12" s="634"/>
      <c r="G12" s="634"/>
      <c r="H12" s="634"/>
      <c r="I12" s="634"/>
      <c r="J12" s="721"/>
      <c r="K12" s="635">
        <v>214576</v>
      </c>
      <c r="L12" s="635">
        <v>259642</v>
      </c>
      <c r="M12" s="721"/>
      <c r="N12" s="634"/>
      <c r="O12" s="721"/>
      <c r="P12" s="635">
        <f t="shared" si="0"/>
        <v>-22</v>
      </c>
      <c r="Q12" s="748">
        <f t="shared" si="1"/>
        <v>474196</v>
      </c>
    </row>
    <row r="13" spans="2:17" ht="16.5" thickTop="1" thickBot="1" x14ac:dyDescent="0.3">
      <c r="B13" s="636"/>
      <c r="C13" s="743" t="s">
        <v>732</v>
      </c>
      <c r="D13" s="644"/>
      <c r="E13" s="637">
        <f>SUM(E5:E12)</f>
        <v>6030545.9875000007</v>
      </c>
      <c r="F13" s="637">
        <f t="shared" ref="F13:I13" si="2">SUM(F5:F12)</f>
        <v>5849871.4602499995</v>
      </c>
      <c r="G13" s="637">
        <f t="shared" si="2"/>
        <v>1237217.65925</v>
      </c>
      <c r="H13" s="637">
        <f t="shared" si="2"/>
        <v>1239101.3545000001</v>
      </c>
      <c r="I13" s="637">
        <f t="shared" si="2"/>
        <v>2182719.5384999998</v>
      </c>
      <c r="J13" s="719"/>
      <c r="K13" s="637">
        <f>SUM(K5:K12)</f>
        <v>524067</v>
      </c>
      <c r="L13" s="637">
        <f>SUM(L5:L12)</f>
        <v>426015</v>
      </c>
      <c r="M13" s="719"/>
      <c r="N13" s="637">
        <f t="shared" ref="N13" si="3">SUM(N5:N12)</f>
        <v>500338</v>
      </c>
      <c r="O13" s="719"/>
      <c r="P13" s="738">
        <f>SUM(P5:P12)</f>
        <v>85</v>
      </c>
      <c r="Q13" s="718">
        <f>SUM(Q5:Q12)</f>
        <v>17989961</v>
      </c>
    </row>
    <row r="14" spans="2:17" ht="15.75" thickTop="1" x14ac:dyDescent="0.25">
      <c r="B14" s="644"/>
      <c r="C14" s="732" t="s">
        <v>725</v>
      </c>
      <c r="D14" s="644"/>
      <c r="E14" s="729">
        <f>E13/SUM($E$13:$N$13)</f>
        <v>0.33521887463259897</v>
      </c>
      <c r="F14" s="729">
        <f t="shared" ref="F14:N14" si="4">F13/SUM($E$13:$N$13)</f>
        <v>0.3251757521980696</v>
      </c>
      <c r="G14" s="729">
        <f t="shared" si="4"/>
        <v>6.8772995391963798E-2</v>
      </c>
      <c r="H14" s="729">
        <f t="shared" si="4"/>
        <v>6.8877704020861519E-2</v>
      </c>
      <c r="I14" s="729">
        <f t="shared" si="4"/>
        <v>0.12133043821424894</v>
      </c>
      <c r="J14" s="730"/>
      <c r="K14" s="729">
        <f t="shared" si="4"/>
        <v>2.9131218025071435E-2</v>
      </c>
      <c r="L14" s="729">
        <f t="shared" si="4"/>
        <v>2.3680819145168095E-2</v>
      </c>
      <c r="M14" s="731"/>
      <c r="N14" s="729">
        <f t="shared" si="4"/>
        <v>2.7812198372017684E-2</v>
      </c>
      <c r="O14" s="733"/>
    </row>
    <row r="15" spans="2:17" ht="18" thickBot="1" x14ac:dyDescent="0.3">
      <c r="E15" s="792" t="s">
        <v>712</v>
      </c>
      <c r="F15" s="792"/>
      <c r="G15" s="792"/>
      <c r="H15" s="792"/>
      <c r="I15" s="792"/>
      <c r="J15" s="792"/>
      <c r="K15" s="792"/>
      <c r="L15" s="792"/>
      <c r="M15" s="792"/>
      <c r="N15" s="792"/>
      <c r="O15" s="726"/>
      <c r="P15" s="726"/>
    </row>
    <row r="16" spans="2:17" ht="16.5" thickTop="1" thickBot="1" x14ac:dyDescent="0.3">
      <c r="E16" s="785" t="s">
        <v>722</v>
      </c>
      <c r="F16" s="785"/>
      <c r="G16" s="785"/>
      <c r="H16" s="785"/>
      <c r="I16" s="785"/>
      <c r="J16" s="723"/>
      <c r="K16" s="785" t="s">
        <v>723</v>
      </c>
      <c r="L16" s="785"/>
      <c r="M16" s="723"/>
      <c r="N16" s="445" t="s">
        <v>724</v>
      </c>
      <c r="O16" s="727"/>
      <c r="P16" s="727"/>
    </row>
    <row r="17" spans="2:21" x14ac:dyDescent="0.25">
      <c r="E17" s="166" t="str">
        <f>E4</f>
        <v>Solids</v>
      </c>
      <c r="F17" s="166" t="str">
        <f t="shared" ref="F17:N17" si="5">F4</f>
        <v>Liquids</v>
      </c>
      <c r="G17" s="166" t="str">
        <f t="shared" si="5"/>
        <v>AWT</v>
      </c>
      <c r="H17" s="167" t="str">
        <f t="shared" si="5"/>
        <v>C/Solids</v>
      </c>
      <c r="I17" s="167" t="str">
        <f t="shared" si="5"/>
        <v>C/Liquids</v>
      </c>
      <c r="J17" s="220"/>
      <c r="K17" s="166" t="str">
        <f t="shared" si="5"/>
        <v>Outfall Flow</v>
      </c>
      <c r="L17" s="167" t="str">
        <f t="shared" si="5"/>
        <v>Capacity</v>
      </c>
      <c r="M17" s="220"/>
      <c r="N17" s="190" t="str">
        <f t="shared" si="5"/>
        <v>All Others</v>
      </c>
      <c r="O17" s="725"/>
      <c r="P17" s="736" t="s">
        <v>696</v>
      </c>
      <c r="Q17" s="736" t="s">
        <v>726</v>
      </c>
    </row>
    <row r="18" spans="2:21" x14ac:dyDescent="0.25">
      <c r="B18" s="628" t="s">
        <v>33</v>
      </c>
      <c r="C18" s="628" t="str">
        <f>C5</f>
        <v>JB Latham WWTP</v>
      </c>
      <c r="D18" s="724"/>
      <c r="E18" s="629">
        <f>'PC2'!V95</f>
        <v>2511760.9479999999</v>
      </c>
      <c r="F18" s="629">
        <f>'PC2'!W95</f>
        <v>1963794.952</v>
      </c>
      <c r="G18" s="630"/>
      <c r="H18" s="629">
        <f>'PC2'!Y95</f>
        <v>606973.05000000005</v>
      </c>
      <c r="I18" s="629">
        <f>'PC2'!Z95</f>
        <v>606973.05000000005</v>
      </c>
      <c r="J18" s="720"/>
      <c r="K18" s="631"/>
      <c r="L18" s="631"/>
      <c r="M18" s="721"/>
      <c r="N18" s="631"/>
      <c r="O18" s="721"/>
      <c r="P18" s="632">
        <f>'Cost Summary'!D18</f>
        <v>54</v>
      </c>
      <c r="Q18" s="737">
        <f t="shared" ref="Q18:Q25" si="6">SUM(E18:N18)+P18</f>
        <v>5689556</v>
      </c>
    </row>
    <row r="19" spans="2:21" x14ac:dyDescent="0.25">
      <c r="B19" s="628" t="s">
        <v>34</v>
      </c>
      <c r="C19" s="628" t="str">
        <f t="shared" ref="C19:C25" si="7">C6</f>
        <v>San Juan Creek Outfall</v>
      </c>
      <c r="D19" s="724"/>
      <c r="E19" s="631"/>
      <c r="F19" s="631"/>
      <c r="G19" s="631"/>
      <c r="H19" s="631"/>
      <c r="I19" s="631"/>
      <c r="J19" s="721"/>
      <c r="K19" s="639">
        <f>'PC5'!W53</f>
        <v>145000</v>
      </c>
      <c r="L19" s="639">
        <f>'PC5'!Z53</f>
        <v>330864</v>
      </c>
      <c r="M19" s="721"/>
      <c r="N19" s="631"/>
      <c r="O19" s="721"/>
      <c r="P19" s="60">
        <f>'Cost Summary'!E18</f>
        <v>20</v>
      </c>
      <c r="Q19" s="735">
        <f t="shared" si="6"/>
        <v>475884</v>
      </c>
    </row>
    <row r="20" spans="2:21" x14ac:dyDescent="0.25">
      <c r="B20" s="628" t="s">
        <v>251</v>
      </c>
      <c r="C20" s="628" t="str">
        <f t="shared" si="7"/>
        <v>Pre-Treatment</v>
      </c>
      <c r="D20" s="724"/>
      <c r="E20" s="631"/>
      <c r="F20" s="631"/>
      <c r="G20" s="631"/>
      <c r="H20" s="631"/>
      <c r="I20" s="631"/>
      <c r="J20" s="721"/>
      <c r="K20" s="631"/>
      <c r="L20" s="631"/>
      <c r="M20" s="721"/>
      <c r="N20" s="639">
        <f>'PC8'!S33+'PC8'!T33</f>
        <v>192200</v>
      </c>
      <c r="O20" s="721"/>
      <c r="P20" s="632">
        <f>'Cost Summary'!F18</f>
        <v>24</v>
      </c>
      <c r="Q20" s="737">
        <f t="shared" si="6"/>
        <v>192224</v>
      </c>
    </row>
    <row r="21" spans="2:21" x14ac:dyDescent="0.25">
      <c r="B21" s="628" t="s">
        <v>252</v>
      </c>
      <c r="C21" s="628" t="str">
        <f t="shared" si="7"/>
        <v>Recycled Water Permits</v>
      </c>
      <c r="D21" s="724"/>
      <c r="E21" s="631"/>
      <c r="F21" s="631"/>
      <c r="G21" s="631"/>
      <c r="H21" s="631"/>
      <c r="I21" s="631"/>
      <c r="J21" s="721"/>
      <c r="K21" s="631"/>
      <c r="L21" s="631"/>
      <c r="M21" s="721"/>
      <c r="N21" s="639">
        <f>'PC12'!S26+'PC12'!T26</f>
        <v>244907</v>
      </c>
      <c r="O21" s="721"/>
      <c r="P21" s="60">
        <f>'Cost Summary'!G18</f>
        <v>-35</v>
      </c>
      <c r="Q21" s="735">
        <f t="shared" si="6"/>
        <v>244872</v>
      </c>
    </row>
    <row r="22" spans="2:21" x14ac:dyDescent="0.25">
      <c r="B22" s="628" t="s">
        <v>253</v>
      </c>
      <c r="C22" s="628" t="str">
        <f t="shared" si="7"/>
        <v>Coastal WWTP</v>
      </c>
      <c r="D22" s="724"/>
      <c r="E22" s="631"/>
      <c r="F22" s="632">
        <f>'PC15'!W86</f>
        <v>1673312.7629999998</v>
      </c>
      <c r="G22" s="632">
        <f>'PC15'!X86</f>
        <v>366641.63800000004</v>
      </c>
      <c r="H22" s="631"/>
      <c r="I22" s="632">
        <f>'PC15'!Z86</f>
        <v>960435.59899999993</v>
      </c>
      <c r="J22" s="721"/>
      <c r="K22" s="631"/>
      <c r="L22" s="631"/>
      <c r="M22" s="721"/>
      <c r="N22" s="631"/>
      <c r="O22" s="721"/>
      <c r="P22" s="632">
        <f>'Cost Summary'!H18</f>
        <v>-2</v>
      </c>
      <c r="Q22" s="737">
        <f t="shared" si="6"/>
        <v>3000388</v>
      </c>
    </row>
    <row r="23" spans="2:21" x14ac:dyDescent="0.25">
      <c r="B23" s="628" t="s">
        <v>254</v>
      </c>
      <c r="C23" s="628" t="str">
        <f t="shared" si="7"/>
        <v>Regional WWTP</v>
      </c>
      <c r="D23" s="724"/>
      <c r="E23" s="632">
        <f>'PC17'!V98</f>
        <v>3541699.5500000003</v>
      </c>
      <c r="F23" s="632">
        <f>'PC17'!W98</f>
        <v>2132453.42</v>
      </c>
      <c r="G23" s="632">
        <f>'PC17'!X98</f>
        <v>849268.00699999998</v>
      </c>
      <c r="H23" s="632">
        <f>'PC17'!Y98</f>
        <v>661966.51150000002</v>
      </c>
      <c r="I23" s="632">
        <f>'PC17'!Z98</f>
        <v>664176.51150000002</v>
      </c>
      <c r="J23" s="721"/>
      <c r="K23" s="631"/>
      <c r="L23" s="631"/>
      <c r="M23" s="721"/>
      <c r="N23" s="631"/>
      <c r="O23" s="721"/>
      <c r="P23" s="60">
        <f>'Cost Summary'!I18</f>
        <v>53</v>
      </c>
      <c r="Q23" s="735">
        <f t="shared" si="6"/>
        <v>7849617.0000000009</v>
      </c>
    </row>
    <row r="24" spans="2:21" x14ac:dyDescent="0.25">
      <c r="B24" s="628" t="s">
        <v>255</v>
      </c>
      <c r="C24" s="628" t="str">
        <f t="shared" si="7"/>
        <v>ETM</v>
      </c>
      <c r="D24" s="724"/>
      <c r="E24" s="631"/>
      <c r="F24" s="631"/>
      <c r="G24" s="631"/>
      <c r="H24" s="631"/>
      <c r="I24" s="631"/>
      <c r="J24" s="721"/>
      <c r="K24" s="631"/>
      <c r="L24" s="631"/>
      <c r="M24" s="721"/>
      <c r="N24" s="639">
        <f>'PC21'!S23+'PC21'!T23</f>
        <v>63231</v>
      </c>
      <c r="O24" s="721"/>
      <c r="P24" s="632">
        <f>'Cost Summary'!J18</f>
        <v>-7</v>
      </c>
      <c r="Q24" s="737">
        <f t="shared" si="6"/>
        <v>63224</v>
      </c>
    </row>
    <row r="25" spans="2:21" ht="15.75" thickBot="1" x14ac:dyDescent="0.3">
      <c r="B25" s="633" t="s">
        <v>256</v>
      </c>
      <c r="C25" s="633" t="str">
        <f t="shared" si="7"/>
        <v>Aliso Creek Outfall</v>
      </c>
      <c r="D25" s="724"/>
      <c r="E25" s="634"/>
      <c r="F25" s="634"/>
      <c r="G25" s="634"/>
      <c r="H25" s="634"/>
      <c r="I25" s="634"/>
      <c r="J25" s="721"/>
      <c r="K25" s="635">
        <f>'PC24'!W46</f>
        <v>131992</v>
      </c>
      <c r="L25" s="635">
        <f>'PC24'!Z46</f>
        <v>342226</v>
      </c>
      <c r="M25" s="721"/>
      <c r="N25" s="634"/>
      <c r="O25" s="721"/>
      <c r="P25" s="635">
        <f>'Cost Summary'!K18</f>
        <v>-22</v>
      </c>
      <c r="Q25" s="739">
        <f t="shared" si="6"/>
        <v>474196</v>
      </c>
    </row>
    <row r="26" spans="2:21" ht="16.5" thickTop="1" thickBot="1" x14ac:dyDescent="0.3">
      <c r="B26" s="636"/>
      <c r="C26" s="743" t="str">
        <f>C13</f>
        <v>Functional Category Total</v>
      </c>
      <c r="D26" s="644"/>
      <c r="E26" s="637">
        <f>SUM(E18:E25)</f>
        <v>6053460.4979999997</v>
      </c>
      <c r="F26" s="637">
        <f t="shared" ref="F26:N26" si="8">SUM(F18:F25)</f>
        <v>5769561.1349999998</v>
      </c>
      <c r="G26" s="637">
        <f t="shared" si="8"/>
        <v>1215909.645</v>
      </c>
      <c r="H26" s="637">
        <f t="shared" si="8"/>
        <v>1268939.5615000001</v>
      </c>
      <c r="I26" s="637">
        <f t="shared" si="8"/>
        <v>2231585.1605000002</v>
      </c>
      <c r="J26" s="719"/>
      <c r="K26" s="637">
        <f t="shared" si="8"/>
        <v>276992</v>
      </c>
      <c r="L26" s="637">
        <f t="shared" si="8"/>
        <v>673090</v>
      </c>
      <c r="M26" s="719"/>
      <c r="N26" s="637">
        <f t="shared" si="8"/>
        <v>500338</v>
      </c>
      <c r="O26" s="719"/>
      <c r="P26" s="738">
        <f>SUM(P18:P25)</f>
        <v>85</v>
      </c>
      <c r="Q26" s="718">
        <f>SUM(Q18:Q25)</f>
        <v>17989961</v>
      </c>
    </row>
    <row r="27" spans="2:21" ht="15.75" thickTop="1" x14ac:dyDescent="0.25">
      <c r="B27" s="644"/>
      <c r="C27" s="732" t="s">
        <v>725</v>
      </c>
      <c r="D27" s="644"/>
      <c r="E27" s="729">
        <f>E26/SUM($E$26:$N$26)</f>
        <v>0.33649261940438052</v>
      </c>
      <c r="F27" s="729">
        <f t="shared" ref="F27:N27" si="9">F26/SUM($E$26:$N$26)</f>
        <v>0.32071155659994544</v>
      </c>
      <c r="G27" s="729">
        <f t="shared" si="9"/>
        <v>6.758855063814781E-2</v>
      </c>
      <c r="H27" s="729">
        <f t="shared" si="9"/>
        <v>7.053631506409494E-2</v>
      </c>
      <c r="I27" s="729">
        <f t="shared" si="9"/>
        <v>0.12404672275117407</v>
      </c>
      <c r="J27" s="730"/>
      <c r="K27" s="729">
        <f t="shared" si="9"/>
        <v>1.5397104460308677E-2</v>
      </c>
      <c r="L27" s="729">
        <f t="shared" si="9"/>
        <v>3.7414932709930855E-2</v>
      </c>
      <c r="M27" s="731"/>
      <c r="N27" s="729">
        <f t="shared" si="9"/>
        <v>2.7812198372017684E-2</v>
      </c>
      <c r="O27" s="733"/>
    </row>
    <row r="28" spans="2:21" x14ac:dyDescent="0.25">
      <c r="B28" s="644"/>
      <c r="C28" s="644"/>
      <c r="D28" s="644"/>
      <c r="E28" s="728"/>
      <c r="F28" s="728"/>
      <c r="G28" s="728"/>
      <c r="H28" s="728"/>
      <c r="I28" s="728"/>
      <c r="J28" s="719"/>
      <c r="K28" s="728"/>
      <c r="L28" s="728"/>
      <c r="N28" s="728"/>
      <c r="O28" s="734"/>
    </row>
    <row r="29" spans="2:21" ht="21.75" thickBot="1" x14ac:dyDescent="0.3">
      <c r="E29" s="792" t="s">
        <v>681</v>
      </c>
      <c r="F29" s="792"/>
      <c r="G29" s="792"/>
      <c r="H29" s="792"/>
      <c r="I29" s="792"/>
      <c r="J29" s="792"/>
      <c r="K29" s="792"/>
      <c r="L29" s="792"/>
      <c r="M29" s="792"/>
      <c r="N29" s="792"/>
      <c r="O29" s="726"/>
      <c r="P29" s="726"/>
      <c r="Q29" s="645"/>
      <c r="U29" s="441"/>
    </row>
    <row r="30" spans="2:21" ht="16.5" thickTop="1" thickBot="1" x14ac:dyDescent="0.3">
      <c r="E30" s="785" t="s">
        <v>722</v>
      </c>
      <c r="F30" s="785"/>
      <c r="G30" s="785"/>
      <c r="H30" s="785"/>
      <c r="I30" s="785"/>
      <c r="J30" s="723"/>
      <c r="K30" s="785" t="s">
        <v>723</v>
      </c>
      <c r="L30" s="785"/>
      <c r="M30" s="723"/>
      <c r="N30" s="445" t="s">
        <v>724</v>
      </c>
      <c r="O30" s="727"/>
      <c r="P30" s="727"/>
    </row>
    <row r="31" spans="2:21" x14ac:dyDescent="0.25">
      <c r="E31" s="166" t="str">
        <f>E17</f>
        <v>Solids</v>
      </c>
      <c r="F31" s="166" t="str">
        <f t="shared" ref="F31:N31" si="10">F17</f>
        <v>Liquids</v>
      </c>
      <c r="G31" s="166" t="str">
        <f t="shared" si="10"/>
        <v>AWT</v>
      </c>
      <c r="H31" s="167" t="str">
        <f t="shared" si="10"/>
        <v>C/Solids</v>
      </c>
      <c r="I31" s="167" t="str">
        <f t="shared" si="10"/>
        <v>C/Liquids</v>
      </c>
      <c r="J31" s="220"/>
      <c r="K31" s="166" t="str">
        <f t="shared" si="10"/>
        <v>Outfall Flow</v>
      </c>
      <c r="L31" s="167" t="str">
        <f t="shared" si="10"/>
        <v>Capacity</v>
      </c>
      <c r="M31" s="220"/>
      <c r="N31" s="190" t="str">
        <f t="shared" si="10"/>
        <v>All Others</v>
      </c>
      <c r="O31" s="725"/>
      <c r="P31" s="736" t="s">
        <v>727</v>
      </c>
      <c r="Q31" s="266"/>
      <c r="U31" s="638"/>
    </row>
    <row r="32" spans="2:21" x14ac:dyDescent="0.25">
      <c r="B32" s="628" t="s">
        <v>33</v>
      </c>
      <c r="C32" s="628" t="str">
        <f>C5</f>
        <v>JB Latham WWTP</v>
      </c>
      <c r="D32" s="724"/>
      <c r="E32" s="356">
        <f>E5-E18</f>
        <v>-11029.473999999929</v>
      </c>
      <c r="F32" s="356">
        <f t="shared" ref="F32:N32" si="11">F5-F18</f>
        <v>30168.172000000253</v>
      </c>
      <c r="G32" s="356">
        <f t="shared" si="11"/>
        <v>0</v>
      </c>
      <c r="H32" s="356">
        <f t="shared" si="11"/>
        <v>-9569.3489999999292</v>
      </c>
      <c r="I32" s="356">
        <f t="shared" si="11"/>
        <v>-9569.3489999999292</v>
      </c>
      <c r="J32" s="714"/>
      <c r="K32" s="356">
        <f t="shared" si="11"/>
        <v>0</v>
      </c>
      <c r="L32" s="356">
        <f t="shared" si="11"/>
        <v>0</v>
      </c>
      <c r="M32" s="714"/>
      <c r="N32" s="356">
        <f t="shared" si="11"/>
        <v>0</v>
      </c>
      <c r="O32" s="714"/>
      <c r="P32" s="737">
        <f>ROUND(SUM(E32:N32),1)</f>
        <v>0</v>
      </c>
      <c r="Q32" s="539"/>
    </row>
    <row r="33" spans="2:20" x14ac:dyDescent="0.25">
      <c r="B33" s="628" t="s">
        <v>34</v>
      </c>
      <c r="C33" s="628" t="str">
        <f t="shared" ref="C33:C39" si="12">C6</f>
        <v>San Juan Creek Outfall</v>
      </c>
      <c r="D33" s="724"/>
      <c r="E33" s="356">
        <f t="shared" ref="E33:N39" si="13">E6-E19</f>
        <v>0</v>
      </c>
      <c r="F33" s="356">
        <f t="shared" si="13"/>
        <v>0</v>
      </c>
      <c r="G33" s="356">
        <f t="shared" si="13"/>
        <v>0</v>
      </c>
      <c r="H33" s="356">
        <f t="shared" si="13"/>
        <v>0</v>
      </c>
      <c r="I33" s="356">
        <f t="shared" si="13"/>
        <v>0</v>
      </c>
      <c r="J33" s="714"/>
      <c r="K33" s="356">
        <f t="shared" si="13"/>
        <v>164491</v>
      </c>
      <c r="L33" s="356">
        <f t="shared" si="13"/>
        <v>-164491</v>
      </c>
      <c r="M33" s="714"/>
      <c r="N33" s="356">
        <f t="shared" si="13"/>
        <v>0</v>
      </c>
      <c r="O33" s="714"/>
      <c r="P33" s="737">
        <f t="shared" ref="P33:P39" si="14">ROUND(SUM(E33:N33),1)</f>
        <v>0</v>
      </c>
      <c r="Q33" s="539"/>
    </row>
    <row r="34" spans="2:20" x14ac:dyDescent="0.25">
      <c r="B34" s="628" t="s">
        <v>251</v>
      </c>
      <c r="C34" s="628" t="str">
        <f t="shared" si="12"/>
        <v>Pre-Treatment</v>
      </c>
      <c r="D34" s="724"/>
      <c r="E34" s="356">
        <f t="shared" si="13"/>
        <v>0</v>
      </c>
      <c r="F34" s="356">
        <f t="shared" si="13"/>
        <v>0</v>
      </c>
      <c r="G34" s="356">
        <f t="shared" si="13"/>
        <v>0</v>
      </c>
      <c r="H34" s="356">
        <f t="shared" si="13"/>
        <v>0</v>
      </c>
      <c r="I34" s="356">
        <f t="shared" si="13"/>
        <v>0</v>
      </c>
      <c r="J34" s="714"/>
      <c r="K34" s="356">
        <f t="shared" si="13"/>
        <v>0</v>
      </c>
      <c r="L34" s="356">
        <f t="shared" si="13"/>
        <v>0</v>
      </c>
      <c r="M34" s="714"/>
      <c r="N34" s="356">
        <f t="shared" si="13"/>
        <v>0</v>
      </c>
      <c r="O34" s="714"/>
      <c r="P34" s="737">
        <f t="shared" si="14"/>
        <v>0</v>
      </c>
      <c r="Q34" s="539"/>
    </row>
    <row r="35" spans="2:20" x14ac:dyDescent="0.25">
      <c r="B35" s="628" t="s">
        <v>252</v>
      </c>
      <c r="C35" s="628" t="str">
        <f t="shared" si="12"/>
        <v>Recycled Water Permits</v>
      </c>
      <c r="D35" s="724"/>
      <c r="E35" s="356">
        <f t="shared" si="13"/>
        <v>0</v>
      </c>
      <c r="F35" s="356">
        <f t="shared" si="13"/>
        <v>0</v>
      </c>
      <c r="G35" s="356">
        <f t="shared" si="13"/>
        <v>0</v>
      </c>
      <c r="H35" s="356">
        <f t="shared" si="13"/>
        <v>0</v>
      </c>
      <c r="I35" s="356">
        <f t="shared" si="13"/>
        <v>0</v>
      </c>
      <c r="J35" s="714"/>
      <c r="K35" s="356">
        <f t="shared" si="13"/>
        <v>0</v>
      </c>
      <c r="L35" s="356">
        <f t="shared" si="13"/>
        <v>0</v>
      </c>
      <c r="M35" s="714"/>
      <c r="N35" s="356">
        <f t="shared" si="13"/>
        <v>0</v>
      </c>
      <c r="O35" s="714"/>
      <c r="P35" s="737">
        <f t="shared" si="14"/>
        <v>0</v>
      </c>
      <c r="Q35" s="539"/>
    </row>
    <row r="36" spans="2:20" x14ac:dyDescent="0.25">
      <c r="B36" s="628" t="s">
        <v>253</v>
      </c>
      <c r="C36" s="628" t="str">
        <f t="shared" si="12"/>
        <v>Coastal WWTP</v>
      </c>
      <c r="D36" s="724"/>
      <c r="E36" s="356">
        <f t="shared" si="13"/>
        <v>0</v>
      </c>
      <c r="F36" s="356">
        <f t="shared" si="13"/>
        <v>7203.125</v>
      </c>
      <c r="G36" s="356">
        <f t="shared" si="13"/>
        <v>11824.290000000037</v>
      </c>
      <c r="H36" s="356">
        <f t="shared" si="13"/>
        <v>0</v>
      </c>
      <c r="I36" s="356">
        <f t="shared" si="13"/>
        <v>-19027.415000000037</v>
      </c>
      <c r="J36" s="714"/>
      <c r="K36" s="356">
        <f t="shared" si="13"/>
        <v>0</v>
      </c>
      <c r="L36" s="356">
        <f t="shared" si="13"/>
        <v>0</v>
      </c>
      <c r="M36" s="714"/>
      <c r="N36" s="356">
        <f t="shared" si="13"/>
        <v>0</v>
      </c>
      <c r="O36" s="714"/>
      <c r="P36" s="737">
        <f t="shared" si="14"/>
        <v>0</v>
      </c>
      <c r="Q36" s="539"/>
    </row>
    <row r="37" spans="2:20" x14ac:dyDescent="0.25">
      <c r="B37" s="628" t="s">
        <v>254</v>
      </c>
      <c r="C37" s="628" t="str">
        <f t="shared" si="12"/>
        <v>Regional WWTP</v>
      </c>
      <c r="D37" s="724"/>
      <c r="E37" s="356">
        <f t="shared" si="13"/>
        <v>-11885.036499999929</v>
      </c>
      <c r="F37" s="356">
        <f t="shared" si="13"/>
        <v>42939.028249999974</v>
      </c>
      <c r="G37" s="356">
        <f t="shared" si="13"/>
        <v>9483.7242499999702</v>
      </c>
      <c r="H37" s="356">
        <f t="shared" si="13"/>
        <v>-20268.858000000007</v>
      </c>
      <c r="I37" s="356">
        <f t="shared" si="13"/>
        <v>-20268.858000000007</v>
      </c>
      <c r="J37" s="714"/>
      <c r="K37" s="356">
        <f t="shared" si="13"/>
        <v>0</v>
      </c>
      <c r="L37" s="356">
        <f t="shared" si="13"/>
        <v>0</v>
      </c>
      <c r="M37" s="714"/>
      <c r="N37" s="356">
        <f t="shared" si="13"/>
        <v>0</v>
      </c>
      <c r="O37" s="714"/>
      <c r="P37" s="737">
        <f t="shared" si="14"/>
        <v>0</v>
      </c>
      <c r="Q37" s="539"/>
    </row>
    <row r="38" spans="2:20" x14ac:dyDescent="0.25">
      <c r="B38" s="628" t="s">
        <v>255</v>
      </c>
      <c r="C38" s="628" t="str">
        <f t="shared" si="12"/>
        <v>ETM</v>
      </c>
      <c r="D38" s="724"/>
      <c r="E38" s="356">
        <f t="shared" si="13"/>
        <v>0</v>
      </c>
      <c r="F38" s="356">
        <f t="shared" si="13"/>
        <v>0</v>
      </c>
      <c r="G38" s="356">
        <f t="shared" si="13"/>
        <v>0</v>
      </c>
      <c r="H38" s="356">
        <f t="shared" si="13"/>
        <v>0</v>
      </c>
      <c r="I38" s="356">
        <f t="shared" si="13"/>
        <v>0</v>
      </c>
      <c r="J38" s="714"/>
      <c r="K38" s="356">
        <f t="shared" si="13"/>
        <v>0</v>
      </c>
      <c r="L38" s="356">
        <f t="shared" si="13"/>
        <v>0</v>
      </c>
      <c r="M38" s="714"/>
      <c r="N38" s="356">
        <f t="shared" si="13"/>
        <v>0</v>
      </c>
      <c r="O38" s="714"/>
      <c r="P38" s="737">
        <f t="shared" si="14"/>
        <v>0</v>
      </c>
      <c r="Q38" s="539"/>
    </row>
    <row r="39" spans="2:20" ht="15.75" thickBot="1" x14ac:dyDescent="0.3">
      <c r="B39" s="633" t="s">
        <v>256</v>
      </c>
      <c r="C39" s="633" t="str">
        <f t="shared" si="12"/>
        <v>Aliso Creek Outfall</v>
      </c>
      <c r="D39" s="724"/>
      <c r="E39" s="640">
        <f t="shared" si="13"/>
        <v>0</v>
      </c>
      <c r="F39" s="640">
        <f t="shared" si="13"/>
        <v>0</v>
      </c>
      <c r="G39" s="640">
        <f t="shared" si="13"/>
        <v>0</v>
      </c>
      <c r="H39" s="640">
        <f t="shared" si="13"/>
        <v>0</v>
      </c>
      <c r="I39" s="640">
        <f t="shared" si="13"/>
        <v>0</v>
      </c>
      <c r="J39" s="714"/>
      <c r="K39" s="640">
        <f t="shared" si="13"/>
        <v>82584</v>
      </c>
      <c r="L39" s="640">
        <f t="shared" si="13"/>
        <v>-82584</v>
      </c>
      <c r="M39" s="714"/>
      <c r="N39" s="640">
        <f t="shared" si="13"/>
        <v>0</v>
      </c>
      <c r="O39" s="714"/>
      <c r="P39" s="739">
        <f t="shared" si="14"/>
        <v>0</v>
      </c>
    </row>
    <row r="40" spans="2:20" ht="16.5" thickTop="1" thickBot="1" x14ac:dyDescent="0.3">
      <c r="B40" s="636"/>
      <c r="C40" s="743" t="s">
        <v>733</v>
      </c>
      <c r="D40" s="644"/>
      <c r="E40" s="641">
        <f>SUM(E32:E39)</f>
        <v>-22914.510499999858</v>
      </c>
      <c r="F40" s="641">
        <f t="shared" ref="F40:I40" si="15">SUM(F32:F39)</f>
        <v>80310.325250000227</v>
      </c>
      <c r="G40" s="641">
        <f t="shared" si="15"/>
        <v>21308.014250000007</v>
      </c>
      <c r="H40" s="641">
        <f t="shared" si="15"/>
        <v>-29838.206999999937</v>
      </c>
      <c r="I40" s="641">
        <f t="shared" si="15"/>
        <v>-48865.621999999974</v>
      </c>
      <c r="J40" s="722"/>
      <c r="K40" s="641">
        <f t="shared" ref="K40:N40" si="16">SUM(K32:K39)</f>
        <v>247075</v>
      </c>
      <c r="L40" s="641">
        <f t="shared" si="16"/>
        <v>-247075</v>
      </c>
      <c r="M40" s="722"/>
      <c r="N40" s="641">
        <f t="shared" si="16"/>
        <v>0</v>
      </c>
      <c r="O40" s="722"/>
      <c r="P40" s="718">
        <f>SUM(P32:P39)</f>
        <v>0</v>
      </c>
      <c r="Q40" s="539"/>
    </row>
    <row r="41" spans="2:20" ht="16.5" thickTop="1" thickBot="1" x14ac:dyDescent="0.3">
      <c r="B41" s="644"/>
      <c r="C41" s="644"/>
      <c r="D41" s="644"/>
      <c r="E41" s="744">
        <f>(E26-E13)/E13</f>
        <v>3.7997406117946339E-3</v>
      </c>
      <c r="F41" s="744">
        <f t="shared" ref="F41:N41" si="17">(F26-F13)/F13</f>
        <v>-1.3728562378799282E-2</v>
      </c>
      <c r="G41" s="744">
        <f t="shared" si="17"/>
        <v>-1.7222526764544326E-2</v>
      </c>
      <c r="H41" s="744">
        <f t="shared" si="17"/>
        <v>2.4080521655179848E-2</v>
      </c>
      <c r="I41" s="744">
        <f t="shared" si="17"/>
        <v>2.2387494654297953E-2</v>
      </c>
      <c r="J41" s="744" t="e">
        <f t="shared" si="17"/>
        <v>#DIV/0!</v>
      </c>
      <c r="K41" s="744">
        <f t="shared" si="17"/>
        <v>-0.47145689387044021</v>
      </c>
      <c r="L41" s="744">
        <f t="shared" si="17"/>
        <v>0.57996784150792813</v>
      </c>
      <c r="M41" s="744" t="e">
        <f t="shared" si="17"/>
        <v>#DIV/0!</v>
      </c>
      <c r="N41" s="744">
        <f t="shared" si="17"/>
        <v>0</v>
      </c>
      <c r="O41" s="722"/>
      <c r="P41" s="722"/>
      <c r="Q41" s="539"/>
    </row>
    <row r="42" spans="2:20" x14ac:dyDescent="0.25">
      <c r="R42" s="773" t="s">
        <v>682</v>
      </c>
      <c r="S42" s="774"/>
      <c r="T42" s="775"/>
    </row>
    <row r="43" spans="2:20" x14ac:dyDescent="0.25">
      <c r="R43" s="786" t="s">
        <v>710</v>
      </c>
      <c r="S43" s="787"/>
      <c r="T43" s="788"/>
    </row>
    <row r="44" spans="2:20" ht="3" customHeight="1" x14ac:dyDescent="0.25">
      <c r="R44" s="642"/>
      <c r="S44" s="89"/>
      <c r="T44" s="643"/>
    </row>
    <row r="45" spans="2:20" ht="15.75" thickBot="1" x14ac:dyDescent="0.3">
      <c r="R45" s="789" t="s">
        <v>711</v>
      </c>
      <c r="S45" s="790"/>
      <c r="T45" s="791"/>
    </row>
  </sheetData>
  <mergeCells count="12">
    <mergeCell ref="E15:N15"/>
    <mergeCell ref="E29:N29"/>
    <mergeCell ref="E2:N2"/>
    <mergeCell ref="E16:I16"/>
    <mergeCell ref="K16:L16"/>
    <mergeCell ref="E3:I3"/>
    <mergeCell ref="K3:L3"/>
    <mergeCell ref="E30:I30"/>
    <mergeCell ref="K30:L30"/>
    <mergeCell ref="R42:T42"/>
    <mergeCell ref="R43:T43"/>
    <mergeCell ref="R45:T45"/>
  </mergeCells>
  <conditionalFormatting sqref="E32:O37 O41:P41 E40:O40">
    <cfRule type="cellIs" dxfId="697" priority="5" operator="greaterThan">
      <formula>0</formula>
    </cfRule>
    <cfRule type="cellIs" dxfId="696" priority="6" operator="lessThan">
      <formula>0</formula>
    </cfRule>
  </conditionalFormatting>
  <conditionalFormatting sqref="E38:O39">
    <cfRule type="cellIs" dxfId="695" priority="1" operator="greaterThan">
      <formula>0</formula>
    </cfRule>
    <cfRule type="cellIs" dxfId="694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X53"/>
  <sheetViews>
    <sheetView showGridLines="0" zoomScale="80" zoomScaleNormal="80" workbookViewId="0">
      <selection activeCell="N39" sqref="N39"/>
    </sheetView>
  </sheetViews>
  <sheetFormatPr defaultRowHeight="15" x14ac:dyDescent="0.25"/>
  <cols>
    <col min="2" max="2" width="28.5703125" style="664" bestFit="1" customWidth="1"/>
    <col min="3" max="3" width="11.5703125" bestFit="1" customWidth="1"/>
    <col min="4" max="4" width="10.7109375" bestFit="1" customWidth="1"/>
    <col min="5" max="6" width="10" bestFit="1" customWidth="1"/>
    <col min="7" max="8" width="11.5703125" bestFit="1" customWidth="1"/>
    <col min="9" max="9" width="9" bestFit="1" customWidth="1"/>
    <col min="10" max="10" width="10.7109375" bestFit="1" customWidth="1"/>
    <col min="11" max="11" width="14.28515625" bestFit="1" customWidth="1"/>
    <col min="12" max="12" width="7.28515625" style="665" bestFit="1" customWidth="1"/>
    <col min="13" max="13" width="4" customWidth="1"/>
    <col min="14" max="14" width="28.5703125" bestFit="1" customWidth="1"/>
    <col min="15" max="15" width="11.5703125" bestFit="1" customWidth="1"/>
    <col min="16" max="18" width="10" bestFit="1" customWidth="1"/>
    <col min="19" max="20" width="11.5703125" bestFit="1" customWidth="1"/>
    <col min="21" max="21" width="9" bestFit="1" customWidth="1"/>
    <col min="22" max="22" width="10" bestFit="1" customWidth="1"/>
    <col min="23" max="23" width="13.7109375" bestFit="1" customWidth="1"/>
    <col min="24" max="24" width="7.28515625" bestFit="1" customWidth="1"/>
  </cols>
  <sheetData>
    <row r="1" spans="1:24" s="12" customFormat="1" ht="23.25" x14ac:dyDescent="0.35">
      <c r="B1" s="793" t="s">
        <v>712</v>
      </c>
      <c r="C1" s="793"/>
      <c r="D1" s="793"/>
      <c r="E1" s="793"/>
      <c r="F1" s="793"/>
      <c r="G1" s="793"/>
      <c r="H1" s="793"/>
      <c r="I1" s="793"/>
      <c r="J1" s="793"/>
      <c r="K1" s="793"/>
      <c r="L1" s="793"/>
      <c r="N1" s="793" t="s">
        <v>715</v>
      </c>
      <c r="O1" s="793"/>
      <c r="P1" s="793"/>
      <c r="Q1" s="793"/>
      <c r="R1" s="793"/>
      <c r="S1" s="793"/>
      <c r="T1" s="793"/>
      <c r="U1" s="793"/>
      <c r="V1" s="793"/>
      <c r="W1" s="793"/>
      <c r="X1" s="793"/>
    </row>
    <row r="2" spans="1:24" s="650" customFormat="1" ht="18" thickBot="1" x14ac:dyDescent="0.35">
      <c r="A2" s="649"/>
      <c r="B2" s="646" t="s">
        <v>716</v>
      </c>
      <c r="C2" s="647" t="s">
        <v>33</v>
      </c>
      <c r="D2" s="647" t="s">
        <v>34</v>
      </c>
      <c r="E2" s="647" t="s">
        <v>251</v>
      </c>
      <c r="F2" s="647" t="s">
        <v>252</v>
      </c>
      <c r="G2" s="647" t="s">
        <v>253</v>
      </c>
      <c r="H2" s="647" t="s">
        <v>254</v>
      </c>
      <c r="I2" s="647" t="s">
        <v>255</v>
      </c>
      <c r="J2" s="647" t="s">
        <v>256</v>
      </c>
      <c r="K2" s="647" t="s">
        <v>713</v>
      </c>
      <c r="L2" s="648" t="s">
        <v>540</v>
      </c>
      <c r="M2" s="649"/>
      <c r="N2" s="646" t="str">
        <f>B2</f>
        <v>Apportionment Basis</v>
      </c>
      <c r="O2" s="647" t="str">
        <f t="shared" ref="O2:X2" si="0">C2</f>
        <v>PC2</v>
      </c>
      <c r="P2" s="647" t="str">
        <f t="shared" si="0"/>
        <v>PC5</v>
      </c>
      <c r="Q2" s="647" t="str">
        <f t="shared" si="0"/>
        <v>PC8</v>
      </c>
      <c r="R2" s="647" t="str">
        <f t="shared" si="0"/>
        <v>PC12</v>
      </c>
      <c r="S2" s="647" t="str">
        <f t="shared" si="0"/>
        <v>PC15</v>
      </c>
      <c r="T2" s="647" t="str">
        <f t="shared" si="0"/>
        <v>PC17</v>
      </c>
      <c r="U2" s="647" t="str">
        <f t="shared" si="0"/>
        <v>PC21</v>
      </c>
      <c r="V2" s="647" t="str">
        <f t="shared" si="0"/>
        <v>PC24</v>
      </c>
      <c r="W2" s="647" t="str">
        <f t="shared" si="0"/>
        <v>Total Expenses</v>
      </c>
      <c r="X2" s="648" t="str">
        <f t="shared" si="0"/>
        <v>%</v>
      </c>
    </row>
    <row r="3" spans="1:24" ht="15.75" thickTop="1" x14ac:dyDescent="0.25">
      <c r="B3" s="651" t="s">
        <v>564</v>
      </c>
      <c r="C3" s="652">
        <f>SUM('Apportionment Bases'!B6:B7)</f>
        <v>1405500</v>
      </c>
      <c r="D3" s="652">
        <f>SUM('Apportionment Bases'!C6:C7)</f>
        <v>0</v>
      </c>
      <c r="E3" s="652">
        <f>SUM('Apportionment Bases'!D6:D7)</f>
        <v>85113</v>
      </c>
      <c r="F3" s="652">
        <f>SUM('Apportionment Bases'!E6:E7)</f>
        <v>50586</v>
      </c>
      <c r="G3" s="652">
        <f>SUM('Apportionment Bases'!F6:F7)</f>
        <v>852110</v>
      </c>
      <c r="H3" s="652">
        <f>SUM('Apportionment Bases'!G6:G7)</f>
        <v>1819549</v>
      </c>
      <c r="I3" s="652">
        <f>SUM('Apportionment Bases'!H6:H7)</f>
        <v>0</v>
      </c>
      <c r="J3" s="652">
        <f>SUM('Apportionment Bases'!I6:I7)</f>
        <v>0</v>
      </c>
      <c r="K3" s="653">
        <f>SUM(C3:J3)</f>
        <v>4212858</v>
      </c>
      <c r="L3" s="654">
        <f>K3/$K$26</f>
        <v>0.23417827309353256</v>
      </c>
      <c r="N3" s="651" t="str">
        <f>B3</f>
        <v>Labor - Actual Use</v>
      </c>
      <c r="O3" s="652">
        <v>1428833</v>
      </c>
      <c r="P3" s="652">
        <v>0</v>
      </c>
      <c r="Q3" s="652">
        <v>85113</v>
      </c>
      <c r="R3" s="652">
        <v>50586</v>
      </c>
      <c r="S3" s="652">
        <v>875443</v>
      </c>
      <c r="T3" s="652">
        <v>1819549</v>
      </c>
      <c r="U3" s="652">
        <v>0</v>
      </c>
      <c r="V3" s="652">
        <v>0</v>
      </c>
      <c r="W3" s="653">
        <f>SUM(O3:V3)</f>
        <v>4259524</v>
      </c>
      <c r="X3" s="654">
        <f>W3/$K$26</f>
        <v>0.23677227538180878</v>
      </c>
    </row>
    <row r="4" spans="1:24" x14ac:dyDescent="0.25">
      <c r="B4" s="651" t="s">
        <v>572</v>
      </c>
      <c r="C4" s="652">
        <f>SUM('Apportionment Bases'!B8:B9)</f>
        <v>1060252</v>
      </c>
      <c r="D4" s="652">
        <f>SUM('Apportionment Bases'!C8:C9)</f>
        <v>0</v>
      </c>
      <c r="E4" s="652">
        <f>SUM('Apportionment Bases'!D8:D9)</f>
        <v>61961</v>
      </c>
      <c r="F4" s="652">
        <f>SUM('Apportionment Bases'!E8:E9)</f>
        <v>37238</v>
      </c>
      <c r="G4" s="652">
        <f>SUM('Apportionment Bases'!F8:F9)</f>
        <v>645468</v>
      </c>
      <c r="H4" s="652">
        <f>SUM('Apportionment Bases'!G8:G9)</f>
        <v>1630089</v>
      </c>
      <c r="I4" s="652">
        <f>SUM('Apportionment Bases'!H8:H9)</f>
        <v>0</v>
      </c>
      <c r="J4" s="652">
        <f>SUM('Apportionment Bases'!I8:I9)</f>
        <v>0</v>
      </c>
      <c r="K4" s="653">
        <f t="shared" ref="K4:K24" si="1">SUM(C4:J4)</f>
        <v>3435008</v>
      </c>
      <c r="L4" s="654">
        <f t="shared" ref="L4:L24" si="2">K4/$K$26</f>
        <v>0.19094026940914435</v>
      </c>
      <c r="N4" s="651" t="str">
        <f t="shared" ref="N4:N24" si="3">B4</f>
        <v>Labor - Allocation</v>
      </c>
      <c r="O4" s="652">
        <v>1085752</v>
      </c>
      <c r="P4" s="652">
        <v>0</v>
      </c>
      <c r="Q4" s="652">
        <v>61961</v>
      </c>
      <c r="R4" s="652">
        <v>37238</v>
      </c>
      <c r="S4" s="652">
        <v>658668</v>
      </c>
      <c r="T4" s="652">
        <v>1675422</v>
      </c>
      <c r="U4" s="652">
        <v>0</v>
      </c>
      <c r="V4" s="652">
        <v>0</v>
      </c>
      <c r="W4" s="653">
        <f t="shared" ref="W4:W24" si="4">SUM(O4:V4)</f>
        <v>3519041</v>
      </c>
      <c r="X4" s="654">
        <f t="shared" ref="X4:X24" si="5">W4/$K$26</f>
        <v>0.1956113745883051</v>
      </c>
    </row>
    <row r="5" spans="1:24" x14ac:dyDescent="0.25">
      <c r="B5" s="655" t="s">
        <v>566</v>
      </c>
      <c r="C5" s="652">
        <f>SUM('Apportionment Bases'!B10:B11)</f>
        <v>22110</v>
      </c>
      <c r="D5" s="652">
        <f>SUM('Apportionment Bases'!C10:C11)</f>
        <v>0</v>
      </c>
      <c r="E5" s="652">
        <f>SUM('Apportionment Bases'!D10:D11)</f>
        <v>0</v>
      </c>
      <c r="F5" s="652">
        <f>SUM('Apportionment Bases'!E10:E11)</f>
        <v>0</v>
      </c>
      <c r="G5" s="652">
        <f>SUM('Apportionment Bases'!F10:F11)</f>
        <v>11121</v>
      </c>
      <c r="H5" s="652">
        <f>SUM('Apportionment Bases'!G10:G11)</f>
        <v>39345</v>
      </c>
      <c r="I5" s="652">
        <f>SUM('Apportionment Bases'!H10:H11)</f>
        <v>0</v>
      </c>
      <c r="J5" s="652">
        <f>SUM('Apportionment Bases'!I10:I11)</f>
        <v>0</v>
      </c>
      <c r="K5" s="653">
        <f t="shared" si="1"/>
        <v>72576</v>
      </c>
      <c r="L5" s="654">
        <f t="shared" si="2"/>
        <v>4.034249990869908E-3</v>
      </c>
      <c r="N5" s="651" t="str">
        <f t="shared" si="3"/>
        <v>Labor - Overtime</v>
      </c>
      <c r="O5" s="656">
        <v>22110</v>
      </c>
      <c r="P5" s="656">
        <v>0</v>
      </c>
      <c r="Q5" s="656">
        <v>0</v>
      </c>
      <c r="R5" s="656">
        <v>0</v>
      </c>
      <c r="S5" s="656">
        <v>11121</v>
      </c>
      <c r="T5" s="656">
        <v>39345</v>
      </c>
      <c r="U5" s="656">
        <v>0</v>
      </c>
      <c r="V5" s="656">
        <v>0</v>
      </c>
      <c r="W5" s="653">
        <f t="shared" si="4"/>
        <v>72576</v>
      </c>
      <c r="X5" s="654">
        <f t="shared" si="5"/>
        <v>4.034249990869908E-3</v>
      </c>
    </row>
    <row r="6" spans="1:24" ht="15.75" thickBot="1" x14ac:dyDescent="0.3">
      <c r="B6" s="657" t="s">
        <v>31</v>
      </c>
      <c r="C6" s="658">
        <f>'Apportionment Bases'!B12</f>
        <v>0</v>
      </c>
      <c r="D6" s="658">
        <f>'Apportionment Bases'!C12</f>
        <v>0</v>
      </c>
      <c r="E6" s="658">
        <f>'Apportionment Bases'!D12</f>
        <v>0</v>
      </c>
      <c r="F6" s="658">
        <f>'Apportionment Bases'!E12</f>
        <v>0</v>
      </c>
      <c r="G6" s="658">
        <f>'Apportionment Bases'!F12</f>
        <v>0</v>
      </c>
      <c r="H6" s="658">
        <f>'Apportionment Bases'!G12</f>
        <v>0</v>
      </c>
      <c r="I6" s="658">
        <f>'Apportionment Bases'!H12</f>
        <v>0</v>
      </c>
      <c r="J6" s="658">
        <f>'Apportionment Bases'!I12</f>
        <v>0</v>
      </c>
      <c r="K6" s="673">
        <f t="shared" si="1"/>
        <v>0</v>
      </c>
      <c r="L6" s="677">
        <f t="shared" si="2"/>
        <v>0</v>
      </c>
      <c r="N6" s="657" t="str">
        <f t="shared" si="3"/>
        <v>Actual Use - Bills Coded</v>
      </c>
      <c r="O6" s="658">
        <v>0</v>
      </c>
      <c r="P6" s="658">
        <v>0</v>
      </c>
      <c r="Q6" s="658">
        <v>0</v>
      </c>
      <c r="R6" s="658">
        <v>0</v>
      </c>
      <c r="S6" s="658">
        <v>0</v>
      </c>
      <c r="T6" s="658">
        <v>0</v>
      </c>
      <c r="U6" s="658">
        <v>0</v>
      </c>
      <c r="V6" s="658">
        <v>0</v>
      </c>
      <c r="W6" s="673">
        <f t="shared" si="4"/>
        <v>0</v>
      </c>
      <c r="X6" s="677">
        <f t="shared" si="5"/>
        <v>0</v>
      </c>
    </row>
    <row r="7" spans="1:24" ht="15.75" thickTop="1" x14ac:dyDescent="0.25">
      <c r="B7" s="660" t="str">
        <f>'Apportionment Bases'!A14</f>
        <v>Common</v>
      </c>
      <c r="C7" s="356">
        <f>'Apportionment Bases'!B14</f>
        <v>860140</v>
      </c>
      <c r="D7" s="356">
        <f>'Apportionment Bases'!C14</f>
        <v>0</v>
      </c>
      <c r="E7" s="356">
        <f>'Apportionment Bases'!D14</f>
        <v>40427</v>
      </c>
      <c r="F7" s="356">
        <f>'Apportionment Bases'!E14</f>
        <v>0</v>
      </c>
      <c r="G7" s="356">
        <f>'Apportionment Bases'!F14</f>
        <v>592187</v>
      </c>
      <c r="H7" s="356">
        <f>'Apportionment Bases'!G14</f>
        <v>996565</v>
      </c>
      <c r="I7" s="356">
        <f>'Apportionment Bases'!H14</f>
        <v>0</v>
      </c>
      <c r="J7" s="356">
        <f>'Apportionment Bases'!I14</f>
        <v>0</v>
      </c>
      <c r="K7" s="653">
        <f t="shared" si="1"/>
        <v>2489319</v>
      </c>
      <c r="L7" s="654">
        <f t="shared" si="2"/>
        <v>0.1383726735149676</v>
      </c>
      <c r="N7" s="682" t="str">
        <f t="shared" si="3"/>
        <v>Common</v>
      </c>
      <c r="O7" s="356">
        <v>811307</v>
      </c>
      <c r="P7" s="352">
        <v>0</v>
      </c>
      <c r="Q7" s="352">
        <v>40427</v>
      </c>
      <c r="R7" s="352">
        <v>0</v>
      </c>
      <c r="S7" s="352">
        <v>555654</v>
      </c>
      <c r="T7" s="352">
        <v>951232</v>
      </c>
      <c r="U7" s="352">
        <v>0</v>
      </c>
      <c r="V7" s="352">
        <v>0</v>
      </c>
      <c r="W7" s="653">
        <f t="shared" si="4"/>
        <v>2358620</v>
      </c>
      <c r="X7" s="654">
        <f t="shared" si="5"/>
        <v>0.13110756604753063</v>
      </c>
    </row>
    <row r="8" spans="1:24" x14ac:dyDescent="0.25">
      <c r="B8" s="660" t="str">
        <f>'Apportionment Bases'!A15</f>
        <v>Solids</v>
      </c>
      <c r="C8" s="356">
        <f>'Apportionment Bases'!B15</f>
        <v>1265000</v>
      </c>
      <c r="D8" s="356">
        <f>'Apportionment Bases'!C15</f>
        <v>0</v>
      </c>
      <c r="E8" s="356">
        <f>'Apportionment Bases'!D15</f>
        <v>0</v>
      </c>
      <c r="F8" s="356">
        <f>'Apportionment Bases'!E15</f>
        <v>0</v>
      </c>
      <c r="G8" s="356">
        <f>'Apportionment Bases'!F15</f>
        <v>0</v>
      </c>
      <c r="H8" s="356">
        <f>'Apportionment Bases'!G15</f>
        <v>1142000</v>
      </c>
      <c r="I8" s="356">
        <f>'Apportionment Bases'!H15</f>
        <v>0</v>
      </c>
      <c r="J8" s="356">
        <f>'Apportionment Bases'!I15</f>
        <v>0</v>
      </c>
      <c r="K8" s="653">
        <f t="shared" si="1"/>
        <v>2407000</v>
      </c>
      <c r="L8" s="654">
        <f t="shared" si="2"/>
        <v>0.13379684369521425</v>
      </c>
      <c r="N8" s="683" t="str">
        <f t="shared" si="3"/>
        <v>Solids</v>
      </c>
      <c r="O8" s="356">
        <v>1265000</v>
      </c>
      <c r="P8" s="352">
        <v>0</v>
      </c>
      <c r="Q8" s="352">
        <v>0</v>
      </c>
      <c r="R8" s="352">
        <v>0</v>
      </c>
      <c r="S8" s="352">
        <v>0</v>
      </c>
      <c r="T8" s="352">
        <v>1142000</v>
      </c>
      <c r="U8" s="352">
        <v>0</v>
      </c>
      <c r="V8" s="352">
        <v>0</v>
      </c>
      <c r="W8" s="653">
        <f t="shared" si="4"/>
        <v>2407000</v>
      </c>
      <c r="X8" s="654">
        <f t="shared" si="5"/>
        <v>0.13379684369521425</v>
      </c>
    </row>
    <row r="9" spans="1:24" x14ac:dyDescent="0.25">
      <c r="B9" s="660" t="str">
        <f>'Apportionment Bases'!A16</f>
        <v>Liquids</v>
      </c>
      <c r="C9" s="356">
        <f>'Apportionment Bases'!B16</f>
        <v>280000</v>
      </c>
      <c r="D9" s="356">
        <f>'Apportionment Bases'!C16</f>
        <v>0</v>
      </c>
      <c r="E9" s="356">
        <f>'Apportionment Bases'!D16</f>
        <v>0</v>
      </c>
      <c r="F9" s="356">
        <f>'Apportionment Bases'!E16</f>
        <v>0</v>
      </c>
      <c r="G9" s="356">
        <f>'Apportionment Bases'!F16</f>
        <v>327000</v>
      </c>
      <c r="H9" s="356">
        <f>'Apportionment Bases'!G16</f>
        <v>307000</v>
      </c>
      <c r="I9" s="356">
        <f>'Apportionment Bases'!H16</f>
        <v>0</v>
      </c>
      <c r="J9" s="356">
        <f>'Apportionment Bases'!I16</f>
        <v>0</v>
      </c>
      <c r="K9" s="678">
        <f t="shared" si="1"/>
        <v>914000</v>
      </c>
      <c r="L9" s="654">
        <f t="shared" si="2"/>
        <v>5.0806113476288245E-2</v>
      </c>
      <c r="N9" s="683" t="str">
        <f t="shared" si="3"/>
        <v>Liquids</v>
      </c>
      <c r="O9" s="356">
        <v>280000</v>
      </c>
      <c r="P9" s="352">
        <v>0</v>
      </c>
      <c r="Q9" s="352">
        <v>0</v>
      </c>
      <c r="R9" s="352">
        <v>0</v>
      </c>
      <c r="S9" s="352">
        <v>327000</v>
      </c>
      <c r="T9" s="352">
        <v>307000</v>
      </c>
      <c r="U9" s="352">
        <v>0</v>
      </c>
      <c r="V9" s="352">
        <v>0</v>
      </c>
      <c r="W9" s="678">
        <f t="shared" si="4"/>
        <v>914000</v>
      </c>
      <c r="X9" s="654">
        <f t="shared" si="5"/>
        <v>5.0806113476288245E-2</v>
      </c>
    </row>
    <row r="10" spans="1:24" ht="15.75" thickBot="1" x14ac:dyDescent="0.3">
      <c r="B10" s="660" t="str">
        <f>'Apportionment Bases'!A17</f>
        <v>AWT</v>
      </c>
      <c r="C10" s="640">
        <f>'Apportionment Bases'!B17</f>
        <v>0</v>
      </c>
      <c r="D10" s="640">
        <f>'Apportionment Bases'!C17</f>
        <v>0</v>
      </c>
      <c r="E10" s="640">
        <f>'Apportionment Bases'!D17</f>
        <v>0</v>
      </c>
      <c r="F10" s="640">
        <f>'Apportionment Bases'!E17</f>
        <v>0</v>
      </c>
      <c r="G10" s="640">
        <f>'Apportionment Bases'!F17</f>
        <v>35000</v>
      </c>
      <c r="H10" s="640">
        <f>'Apportionment Bases'!G17</f>
        <v>58996</v>
      </c>
      <c r="I10" s="640">
        <f>'Apportionment Bases'!H17</f>
        <v>0</v>
      </c>
      <c r="J10" s="640">
        <f>'Apportionment Bases'!I17</f>
        <v>0</v>
      </c>
      <c r="K10" s="674">
        <f t="shared" si="1"/>
        <v>93996</v>
      </c>
      <c r="L10" s="677">
        <f t="shared" si="2"/>
        <v>5.2249140506752624E-3</v>
      </c>
      <c r="N10" s="684" t="str">
        <f t="shared" si="3"/>
        <v>AWT</v>
      </c>
      <c r="O10" s="640">
        <v>0</v>
      </c>
      <c r="P10" s="659">
        <v>0</v>
      </c>
      <c r="Q10" s="659">
        <v>0</v>
      </c>
      <c r="R10" s="659">
        <v>0</v>
      </c>
      <c r="S10" s="659">
        <v>35000</v>
      </c>
      <c r="T10" s="659">
        <v>58996</v>
      </c>
      <c r="U10" s="659">
        <v>0</v>
      </c>
      <c r="V10" s="659">
        <v>0</v>
      </c>
      <c r="W10" s="674">
        <f t="shared" si="4"/>
        <v>93996</v>
      </c>
      <c r="X10" s="677">
        <f t="shared" si="5"/>
        <v>5.2249140506752624E-3</v>
      </c>
    </row>
    <row r="11" spans="1:24" ht="15.75" thickTop="1" x14ac:dyDescent="0.25">
      <c r="B11" s="661" t="str">
        <f>'Apportionment Bases'!A19</f>
        <v>Outfall - Fixed</v>
      </c>
      <c r="C11" s="356">
        <f>'Apportionment Bases'!B19</f>
        <v>0</v>
      </c>
      <c r="D11" s="356">
        <f>'Apportionment Bases'!C19</f>
        <v>330864</v>
      </c>
      <c r="E11" s="356">
        <f>'Apportionment Bases'!D19</f>
        <v>0</v>
      </c>
      <c r="F11" s="356">
        <f>'Apportionment Bases'!E19</f>
        <v>0</v>
      </c>
      <c r="G11" s="356">
        <f>'Apportionment Bases'!F19</f>
        <v>0</v>
      </c>
      <c r="H11" s="356">
        <f>'Apportionment Bases'!G19</f>
        <v>0</v>
      </c>
      <c r="I11" s="356">
        <f>'Apportionment Bases'!H19</f>
        <v>0</v>
      </c>
      <c r="J11" s="356">
        <f>'Apportionment Bases'!I19</f>
        <v>342226</v>
      </c>
      <c r="K11" s="653">
        <f t="shared" si="1"/>
        <v>673090</v>
      </c>
      <c r="L11" s="654">
        <f t="shared" si="2"/>
        <v>3.7414755929709907E-2</v>
      </c>
      <c r="N11" s="679" t="str">
        <f t="shared" si="3"/>
        <v>Outfall - Fixed</v>
      </c>
      <c r="O11" s="356">
        <v>0</v>
      </c>
      <c r="P11" s="352">
        <v>166373</v>
      </c>
      <c r="Q11" s="352">
        <v>0</v>
      </c>
      <c r="R11" s="352">
        <v>0</v>
      </c>
      <c r="S11" s="352">
        <v>0</v>
      </c>
      <c r="T11" s="352">
        <v>0</v>
      </c>
      <c r="U11" s="352">
        <v>0</v>
      </c>
      <c r="V11" s="352">
        <v>259642</v>
      </c>
      <c r="W11" s="653">
        <f t="shared" si="4"/>
        <v>426015</v>
      </c>
      <c r="X11" s="654">
        <f t="shared" si="5"/>
        <v>2.3680707256674986E-2</v>
      </c>
    </row>
    <row r="12" spans="1:24" x14ac:dyDescent="0.25">
      <c r="B12" s="661" t="str">
        <f>'Apportionment Bases'!A20</f>
        <v>Outfall - Variable</v>
      </c>
      <c r="C12" s="356">
        <f>'Apportionment Bases'!B20</f>
        <v>0</v>
      </c>
      <c r="D12" s="356">
        <f>'Apportionment Bases'!C20</f>
        <v>145000</v>
      </c>
      <c r="E12" s="356">
        <f>'Apportionment Bases'!D20</f>
        <v>0</v>
      </c>
      <c r="F12" s="356">
        <f>'Apportionment Bases'!E20</f>
        <v>0</v>
      </c>
      <c r="G12" s="356">
        <f>'Apportionment Bases'!F20</f>
        <v>0</v>
      </c>
      <c r="H12" s="356">
        <f>'Apportionment Bases'!G20</f>
        <v>0</v>
      </c>
      <c r="I12" s="356">
        <f>'Apportionment Bases'!H20</f>
        <v>0</v>
      </c>
      <c r="J12" s="356">
        <f>'Apportionment Bases'!I20</f>
        <v>131992</v>
      </c>
      <c r="K12" s="653">
        <f t="shared" si="1"/>
        <v>276992</v>
      </c>
      <c r="L12" s="654">
        <f t="shared" si="2"/>
        <v>1.5397031711186034E-2</v>
      </c>
      <c r="N12" s="651" t="str">
        <f t="shared" si="3"/>
        <v>Outfall - Variable</v>
      </c>
      <c r="O12" s="356">
        <v>0</v>
      </c>
      <c r="P12" s="352">
        <v>309491</v>
      </c>
      <c r="Q12" s="352">
        <v>0</v>
      </c>
      <c r="R12" s="352">
        <v>0</v>
      </c>
      <c r="S12" s="352">
        <v>0</v>
      </c>
      <c r="T12" s="352">
        <v>0</v>
      </c>
      <c r="U12" s="352">
        <v>0</v>
      </c>
      <c r="V12" s="352">
        <v>214576</v>
      </c>
      <c r="W12" s="653">
        <f t="shared" si="4"/>
        <v>524067</v>
      </c>
      <c r="X12" s="654">
        <f t="shared" si="5"/>
        <v>2.9131080384220954E-2</v>
      </c>
    </row>
    <row r="13" spans="1:24" ht="15.75" thickBot="1" x14ac:dyDescent="0.3">
      <c r="B13" s="661" t="str">
        <f>'Apportionment Bases'!A21</f>
        <v>ETM</v>
      </c>
      <c r="C13" s="676">
        <f>'Apportionment Bases'!B21</f>
        <v>0</v>
      </c>
      <c r="D13" s="640">
        <f>'Apportionment Bases'!C21</f>
        <v>0</v>
      </c>
      <c r="E13" s="640">
        <f>'Apportionment Bases'!D21</f>
        <v>0</v>
      </c>
      <c r="F13" s="640">
        <f>'Apportionment Bases'!E21</f>
        <v>0</v>
      </c>
      <c r="G13" s="640">
        <f>'Apportionment Bases'!F21</f>
        <v>0</v>
      </c>
      <c r="H13" s="640">
        <f>'Apportionment Bases'!G21</f>
        <v>0</v>
      </c>
      <c r="I13" s="640">
        <f>'Apportionment Bases'!H21</f>
        <v>63231</v>
      </c>
      <c r="J13" s="640">
        <f>'Apportionment Bases'!I21</f>
        <v>0</v>
      </c>
      <c r="K13" s="674">
        <f t="shared" si="1"/>
        <v>63231</v>
      </c>
      <c r="L13" s="677">
        <f t="shared" si="2"/>
        <v>3.5147936118371794E-3</v>
      </c>
      <c r="N13" s="657" t="str">
        <f t="shared" si="3"/>
        <v>ETM</v>
      </c>
      <c r="O13" s="640">
        <v>0</v>
      </c>
      <c r="P13" s="659">
        <v>0</v>
      </c>
      <c r="Q13" s="659">
        <v>0</v>
      </c>
      <c r="R13" s="659">
        <v>0</v>
      </c>
      <c r="S13" s="659">
        <v>0</v>
      </c>
      <c r="T13" s="659">
        <v>0</v>
      </c>
      <c r="U13" s="659">
        <v>63231</v>
      </c>
      <c r="V13" s="659">
        <v>0</v>
      </c>
      <c r="W13" s="674">
        <f t="shared" si="4"/>
        <v>63231</v>
      </c>
      <c r="X13" s="677">
        <f t="shared" si="5"/>
        <v>3.5147936118371794E-3</v>
      </c>
    </row>
    <row r="14" spans="1:24" ht="15.75" thickTop="1" x14ac:dyDescent="0.25">
      <c r="B14" s="662" t="str">
        <f>'Apportionment Bases'!A23</f>
        <v>Electricity</v>
      </c>
      <c r="C14" s="356">
        <f>'Apportionment Bases'!B23</f>
        <v>524000</v>
      </c>
      <c r="D14" s="356">
        <f>'Apportionment Bases'!C23</f>
        <v>0</v>
      </c>
      <c r="E14" s="356">
        <f>'Apportionment Bases'!D23</f>
        <v>0</v>
      </c>
      <c r="F14" s="356">
        <f>'Apportionment Bases'!E23</f>
        <v>0</v>
      </c>
      <c r="G14" s="356">
        <f>'Apportionment Bases'!F23</f>
        <v>283000</v>
      </c>
      <c r="H14" s="356">
        <f>'Apportionment Bases'!G23</f>
        <v>675000</v>
      </c>
      <c r="I14" s="356">
        <f>'Apportionment Bases'!H23</f>
        <v>0</v>
      </c>
      <c r="J14" s="356">
        <f>'Apportionment Bases'!I23</f>
        <v>0</v>
      </c>
      <c r="K14" s="653">
        <f t="shared" si="1"/>
        <v>1482000</v>
      </c>
      <c r="L14" s="654">
        <f t="shared" si="2"/>
        <v>8.2379278087373289E-2</v>
      </c>
      <c r="N14" s="679" t="str">
        <f t="shared" si="3"/>
        <v>Electricity</v>
      </c>
      <c r="O14" s="356">
        <v>524000</v>
      </c>
      <c r="P14" s="352">
        <v>0</v>
      </c>
      <c r="Q14" s="352">
        <v>0</v>
      </c>
      <c r="R14" s="352">
        <v>0</v>
      </c>
      <c r="S14" s="352">
        <v>283000</v>
      </c>
      <c r="T14" s="352">
        <v>675000</v>
      </c>
      <c r="U14" s="352">
        <v>0</v>
      </c>
      <c r="V14" s="352">
        <v>0</v>
      </c>
      <c r="W14" s="653">
        <f t="shared" si="4"/>
        <v>1482000</v>
      </c>
      <c r="X14" s="654">
        <f t="shared" si="5"/>
        <v>8.2379278087373289E-2</v>
      </c>
    </row>
    <row r="15" spans="1:24" x14ac:dyDescent="0.25">
      <c r="B15" s="662" t="str">
        <f>'Apportionment Bases'!A24</f>
        <v>Natural Gas</v>
      </c>
      <c r="C15" s="356">
        <f>'Apportionment Bases'!B24</f>
        <v>65000</v>
      </c>
      <c r="D15" s="356">
        <f>'Apportionment Bases'!C24</f>
        <v>0</v>
      </c>
      <c r="E15" s="356">
        <f>'Apportionment Bases'!D24</f>
        <v>0</v>
      </c>
      <c r="F15" s="356">
        <f>'Apportionment Bases'!E24</f>
        <v>0</v>
      </c>
      <c r="G15" s="356">
        <f>'Apportionment Bases'!F24</f>
        <v>3000</v>
      </c>
      <c r="H15" s="356">
        <f>'Apportionment Bases'!G24</f>
        <v>141000</v>
      </c>
      <c r="I15" s="356">
        <f>'Apportionment Bases'!H24</f>
        <v>0</v>
      </c>
      <c r="J15" s="356">
        <f>'Apportionment Bases'!I24</f>
        <v>0</v>
      </c>
      <c r="K15" s="653">
        <f t="shared" si="1"/>
        <v>209000</v>
      </c>
      <c r="L15" s="654">
        <f t="shared" si="2"/>
        <v>1.1617590499501361E-2</v>
      </c>
      <c r="N15" s="651" t="str">
        <f t="shared" si="3"/>
        <v>Natural Gas</v>
      </c>
      <c r="O15" s="356">
        <v>65000</v>
      </c>
      <c r="P15" s="352">
        <v>0</v>
      </c>
      <c r="Q15" s="352">
        <v>0</v>
      </c>
      <c r="R15" s="352">
        <v>0</v>
      </c>
      <c r="S15" s="352">
        <v>3000</v>
      </c>
      <c r="T15" s="352">
        <v>141000</v>
      </c>
      <c r="U15" s="352">
        <v>0</v>
      </c>
      <c r="V15" s="352">
        <v>0</v>
      </c>
      <c r="W15" s="653">
        <f t="shared" si="4"/>
        <v>209000</v>
      </c>
      <c r="X15" s="654">
        <f t="shared" si="5"/>
        <v>1.1617590499501361E-2</v>
      </c>
    </row>
    <row r="16" spans="1:24" x14ac:dyDescent="0.25">
      <c r="B16" s="662" t="str">
        <f>'Apportionment Bases'!A25</f>
        <v>Potable &amp; Reclaimed Water</v>
      </c>
      <c r="C16" s="356">
        <f>'Apportionment Bases'!B25</f>
        <v>15000</v>
      </c>
      <c r="D16" s="356">
        <f>'Apportionment Bases'!C25</f>
        <v>0</v>
      </c>
      <c r="E16" s="356">
        <f>'Apportionment Bases'!D25</f>
        <v>0</v>
      </c>
      <c r="F16" s="356">
        <f>'Apportionment Bases'!E25</f>
        <v>0</v>
      </c>
      <c r="G16" s="356">
        <f>'Apportionment Bases'!F25</f>
        <v>13000</v>
      </c>
      <c r="H16" s="356">
        <f>'Apportionment Bases'!G25</f>
        <v>34000</v>
      </c>
      <c r="I16" s="356">
        <f>'Apportionment Bases'!H25</f>
        <v>0</v>
      </c>
      <c r="J16" s="356">
        <f>'Apportionment Bases'!I25</f>
        <v>0</v>
      </c>
      <c r="K16" s="653">
        <f t="shared" si="1"/>
        <v>62000</v>
      </c>
      <c r="L16" s="654">
        <f t="shared" si="2"/>
        <v>3.4463665596606908E-3</v>
      </c>
      <c r="N16" s="651" t="str">
        <f t="shared" si="3"/>
        <v>Potable &amp; Reclaimed Water</v>
      </c>
      <c r="O16" s="356">
        <v>15000</v>
      </c>
      <c r="P16" s="352">
        <v>0</v>
      </c>
      <c r="Q16" s="352">
        <v>0</v>
      </c>
      <c r="R16" s="352">
        <v>0</v>
      </c>
      <c r="S16" s="352">
        <v>13000</v>
      </c>
      <c r="T16" s="352">
        <v>34000</v>
      </c>
      <c r="U16" s="352">
        <v>0</v>
      </c>
      <c r="V16" s="352">
        <v>0</v>
      </c>
      <c r="W16" s="653">
        <f t="shared" si="4"/>
        <v>62000</v>
      </c>
      <c r="X16" s="654">
        <f t="shared" si="5"/>
        <v>3.4463665596606908E-3</v>
      </c>
    </row>
    <row r="17" spans="2:24" x14ac:dyDescent="0.25">
      <c r="B17" s="662" t="str">
        <f>'Apportionment Bases'!A26</f>
        <v>Chlorine/Sodium Hypochlorite</v>
      </c>
      <c r="C17" s="356">
        <f>'Apportionment Bases'!B26</f>
        <v>28000</v>
      </c>
      <c r="D17" s="356">
        <f>'Apportionment Bases'!C26</f>
        <v>0</v>
      </c>
      <c r="E17" s="356">
        <f>'Apportionment Bases'!D26</f>
        <v>0</v>
      </c>
      <c r="F17" s="356">
        <f>'Apportionment Bases'!E26</f>
        <v>0</v>
      </c>
      <c r="G17" s="356">
        <f>'Apportionment Bases'!F26</f>
        <v>100000</v>
      </c>
      <c r="H17" s="356">
        <f>'Apportionment Bases'!G26</f>
        <v>350000</v>
      </c>
      <c r="I17" s="356">
        <f>'Apportionment Bases'!H26</f>
        <v>0</v>
      </c>
      <c r="J17" s="356">
        <f>'Apportionment Bases'!I26</f>
        <v>0</v>
      </c>
      <c r="K17" s="653">
        <f t="shared" si="1"/>
        <v>478000</v>
      </c>
      <c r="L17" s="654">
        <f t="shared" si="2"/>
        <v>2.657037444383565E-2</v>
      </c>
      <c r="N17" s="651" t="str">
        <f t="shared" si="3"/>
        <v>Chlorine/Sodium Hypochlorite</v>
      </c>
      <c r="O17" s="356">
        <v>28000</v>
      </c>
      <c r="P17" s="352">
        <v>0</v>
      </c>
      <c r="Q17" s="352">
        <v>0</v>
      </c>
      <c r="R17" s="352">
        <v>0</v>
      </c>
      <c r="S17" s="352">
        <v>100000</v>
      </c>
      <c r="T17" s="352">
        <v>350000</v>
      </c>
      <c r="U17" s="352">
        <v>0</v>
      </c>
      <c r="V17" s="352">
        <v>0</v>
      </c>
      <c r="W17" s="653">
        <f t="shared" si="4"/>
        <v>478000</v>
      </c>
      <c r="X17" s="654">
        <f t="shared" si="5"/>
        <v>2.657037444383565E-2</v>
      </c>
    </row>
    <row r="18" spans="2:24" x14ac:dyDescent="0.25">
      <c r="B18" s="662" t="str">
        <f>'Apportionment Bases'!A27</f>
        <v>Polymer Products</v>
      </c>
      <c r="C18" s="356">
        <f>'Apportionment Bases'!B27</f>
        <v>0</v>
      </c>
      <c r="D18" s="356">
        <f>'Apportionment Bases'!C27</f>
        <v>0</v>
      </c>
      <c r="E18" s="356">
        <f>'Apportionment Bases'!D27</f>
        <v>0</v>
      </c>
      <c r="F18" s="356">
        <f>'Apportionment Bases'!E27</f>
        <v>0</v>
      </c>
      <c r="G18" s="356">
        <f>'Apportionment Bases'!F27</f>
        <v>2000</v>
      </c>
      <c r="H18" s="356">
        <f>'Apportionment Bases'!G27</f>
        <v>406000</v>
      </c>
      <c r="I18" s="356">
        <f>'Apportionment Bases'!H27</f>
        <v>0</v>
      </c>
      <c r="J18" s="356">
        <f>'Apportionment Bases'!I27</f>
        <v>0</v>
      </c>
      <c r="K18" s="653">
        <f t="shared" si="1"/>
        <v>408000</v>
      </c>
      <c r="L18" s="654">
        <f t="shared" si="2"/>
        <v>2.26793154248639E-2</v>
      </c>
      <c r="N18" s="675" t="str">
        <f t="shared" si="3"/>
        <v>Polymer Products</v>
      </c>
      <c r="O18" s="356">
        <v>0</v>
      </c>
      <c r="P18" s="352">
        <v>0</v>
      </c>
      <c r="Q18" s="352">
        <v>0</v>
      </c>
      <c r="R18" s="352">
        <v>0</v>
      </c>
      <c r="S18" s="352">
        <v>2000</v>
      </c>
      <c r="T18" s="352">
        <v>406000</v>
      </c>
      <c r="U18" s="352">
        <v>0</v>
      </c>
      <c r="V18" s="352">
        <v>0</v>
      </c>
      <c r="W18" s="653">
        <f t="shared" si="4"/>
        <v>408000</v>
      </c>
      <c r="X18" s="654">
        <f t="shared" si="5"/>
        <v>2.26793154248639E-2</v>
      </c>
    </row>
    <row r="19" spans="2:24" x14ac:dyDescent="0.25">
      <c r="B19" s="662" t="str">
        <f>'Apportionment Bases'!A28</f>
        <v>Ferric Chloride</v>
      </c>
      <c r="C19" s="356">
        <f>'Apportionment Bases'!B28</f>
        <v>100000</v>
      </c>
      <c r="D19" s="356">
        <f>'Apportionment Bases'!C28</f>
        <v>0</v>
      </c>
      <c r="E19" s="356">
        <f>'Apportionment Bases'!D28</f>
        <v>0</v>
      </c>
      <c r="F19" s="356">
        <f>'Apportionment Bases'!E28</f>
        <v>0</v>
      </c>
      <c r="G19" s="356">
        <f>'Apportionment Bases'!F28</f>
        <v>30000</v>
      </c>
      <c r="H19" s="356">
        <f>'Apportionment Bases'!G28</f>
        <v>125000</v>
      </c>
      <c r="I19" s="356">
        <f>'Apportionment Bases'!H28</f>
        <v>0</v>
      </c>
      <c r="J19" s="356">
        <f>'Apportionment Bases'!I28</f>
        <v>0</v>
      </c>
      <c r="K19" s="653">
        <f t="shared" si="1"/>
        <v>255000</v>
      </c>
      <c r="L19" s="654">
        <f t="shared" si="2"/>
        <v>1.4174572140539937E-2</v>
      </c>
      <c r="N19" s="675" t="str">
        <f t="shared" si="3"/>
        <v>Ferric Chloride</v>
      </c>
      <c r="O19" s="356">
        <v>100000</v>
      </c>
      <c r="P19" s="352">
        <v>0</v>
      </c>
      <c r="Q19" s="352">
        <v>0</v>
      </c>
      <c r="R19" s="352">
        <v>0</v>
      </c>
      <c r="S19" s="352">
        <v>30000</v>
      </c>
      <c r="T19" s="352">
        <v>125000</v>
      </c>
      <c r="U19" s="352">
        <v>0</v>
      </c>
      <c r="V19" s="352">
        <v>0</v>
      </c>
      <c r="W19" s="653">
        <f t="shared" si="4"/>
        <v>255000</v>
      </c>
      <c r="X19" s="654">
        <f t="shared" si="5"/>
        <v>1.4174572140539937E-2</v>
      </c>
    </row>
    <row r="20" spans="2:24" x14ac:dyDescent="0.25">
      <c r="B20" s="662" t="str">
        <f>'Apportionment Bases'!A29</f>
        <v>Odor Control Chemicals</v>
      </c>
      <c r="C20" s="356">
        <f>'Apportionment Bases'!B29</f>
        <v>25000</v>
      </c>
      <c r="D20" s="356">
        <f>'Apportionment Bases'!C29</f>
        <v>0</v>
      </c>
      <c r="E20" s="356">
        <f>'Apportionment Bases'!D29</f>
        <v>0</v>
      </c>
      <c r="F20" s="356">
        <f>'Apportionment Bases'!E29</f>
        <v>0</v>
      </c>
      <c r="G20" s="356">
        <f>'Apportionment Bases'!F29</f>
        <v>85000</v>
      </c>
      <c r="H20" s="356">
        <f>'Apportionment Bases'!G29</f>
        <v>50000</v>
      </c>
      <c r="I20" s="356">
        <f>'Apportionment Bases'!H29</f>
        <v>0</v>
      </c>
      <c r="J20" s="356">
        <f>'Apportionment Bases'!I29</f>
        <v>0</v>
      </c>
      <c r="K20" s="653">
        <f t="shared" si="1"/>
        <v>160000</v>
      </c>
      <c r="L20" s="654">
        <f t="shared" si="2"/>
        <v>8.893849186221138E-3</v>
      </c>
      <c r="N20" s="675" t="str">
        <f t="shared" si="3"/>
        <v>Odor Control Chemicals</v>
      </c>
      <c r="O20" s="356">
        <v>25000</v>
      </c>
      <c r="P20" s="352">
        <v>0</v>
      </c>
      <c r="Q20" s="352">
        <v>0</v>
      </c>
      <c r="R20" s="352">
        <v>0</v>
      </c>
      <c r="S20" s="352">
        <v>85000</v>
      </c>
      <c r="T20" s="352">
        <v>50000</v>
      </c>
      <c r="U20" s="352">
        <v>0</v>
      </c>
      <c r="V20" s="352">
        <v>0</v>
      </c>
      <c r="W20" s="653">
        <f t="shared" si="4"/>
        <v>160000</v>
      </c>
      <c r="X20" s="654">
        <f t="shared" si="5"/>
        <v>8.893849186221138E-3</v>
      </c>
    </row>
    <row r="21" spans="2:24" x14ac:dyDescent="0.25">
      <c r="B21" s="662" t="str">
        <f>'Apportionment Bases'!A30</f>
        <v>Laboratory</v>
      </c>
      <c r="C21" s="356">
        <f>'Apportionment Bases'!B30</f>
        <v>23500</v>
      </c>
      <c r="D21" s="356">
        <f>'Apportionment Bases'!C30</f>
        <v>0</v>
      </c>
      <c r="E21" s="356">
        <f>'Apportionment Bases'!D30</f>
        <v>2500</v>
      </c>
      <c r="F21" s="356">
        <f>'Apportionment Bases'!E30</f>
        <v>0</v>
      </c>
      <c r="G21" s="356">
        <f>'Apportionment Bases'!F30</f>
        <v>19504</v>
      </c>
      <c r="H21" s="356">
        <f>'Apportionment Bases'!G30</f>
        <v>33020</v>
      </c>
      <c r="I21" s="356">
        <f>'Apportionment Bases'!H30</f>
        <v>0</v>
      </c>
      <c r="J21" s="356">
        <f>'Apportionment Bases'!I30</f>
        <v>0</v>
      </c>
      <c r="K21" s="653">
        <f t="shared" si="1"/>
        <v>78524</v>
      </c>
      <c r="L21" s="654">
        <f t="shared" si="2"/>
        <v>4.3648788343676791E-3</v>
      </c>
      <c r="N21" s="675" t="str">
        <f t="shared" si="3"/>
        <v>Laboratory</v>
      </c>
      <c r="O21" s="356">
        <v>23500</v>
      </c>
      <c r="P21" s="352">
        <v>0</v>
      </c>
      <c r="Q21" s="352">
        <v>2500</v>
      </c>
      <c r="R21" s="352">
        <v>0</v>
      </c>
      <c r="S21" s="352">
        <v>19504</v>
      </c>
      <c r="T21" s="352">
        <v>33020</v>
      </c>
      <c r="U21" s="352">
        <v>0</v>
      </c>
      <c r="V21" s="352">
        <v>0</v>
      </c>
      <c r="W21" s="653">
        <f t="shared" si="4"/>
        <v>78524</v>
      </c>
      <c r="X21" s="654">
        <f t="shared" si="5"/>
        <v>4.3648788343676791E-3</v>
      </c>
    </row>
    <row r="22" spans="2:24" x14ac:dyDescent="0.25">
      <c r="B22" s="662" t="str">
        <f>'Apportionment Bases'!A31</f>
        <v>Petroleum Products</v>
      </c>
      <c r="C22" s="356">
        <f>'Apportionment Bases'!B31</f>
        <v>16000</v>
      </c>
      <c r="D22" s="356">
        <f>'Apportionment Bases'!C31</f>
        <v>0</v>
      </c>
      <c r="E22" s="356">
        <f>'Apportionment Bases'!D31</f>
        <v>0</v>
      </c>
      <c r="F22" s="356">
        <f>'Apportionment Bases'!E31</f>
        <v>0</v>
      </c>
      <c r="G22" s="356">
        <f>'Apportionment Bases'!F31</f>
        <v>2000</v>
      </c>
      <c r="H22" s="356">
        <f>'Apportionment Bases'!G31</f>
        <v>42000</v>
      </c>
      <c r="I22" s="356">
        <f>'Apportionment Bases'!H31</f>
        <v>0</v>
      </c>
      <c r="J22" s="356">
        <f>'Apportionment Bases'!I31</f>
        <v>0</v>
      </c>
      <c r="K22" s="653">
        <f t="shared" si="1"/>
        <v>60000</v>
      </c>
      <c r="L22" s="654">
        <f t="shared" si="2"/>
        <v>3.3351934448329268E-3</v>
      </c>
      <c r="N22" s="675" t="str">
        <f t="shared" si="3"/>
        <v>Petroleum Products</v>
      </c>
      <c r="O22" s="356">
        <v>16000</v>
      </c>
      <c r="P22" s="352">
        <v>0</v>
      </c>
      <c r="Q22" s="352">
        <v>0</v>
      </c>
      <c r="R22" s="352">
        <v>0</v>
      </c>
      <c r="S22" s="352">
        <v>2000</v>
      </c>
      <c r="T22" s="352">
        <v>42000</v>
      </c>
      <c r="U22" s="352">
        <v>0</v>
      </c>
      <c r="V22" s="352">
        <v>0</v>
      </c>
      <c r="W22" s="653">
        <f t="shared" si="4"/>
        <v>60000</v>
      </c>
      <c r="X22" s="654">
        <f t="shared" si="5"/>
        <v>3.3351934448329268E-3</v>
      </c>
    </row>
    <row r="23" spans="2:24" x14ac:dyDescent="0.25">
      <c r="B23" s="675" t="str">
        <f>'Apportionment Bases'!A32</f>
        <v>Recycled Water Permits</v>
      </c>
      <c r="C23" s="356">
        <f>'Apportionment Bases'!B32</f>
        <v>0</v>
      </c>
      <c r="D23" s="356">
        <f>'Apportionment Bases'!C32</f>
        <v>0</v>
      </c>
      <c r="E23" s="356">
        <f>'Apportionment Bases'!D32</f>
        <v>0</v>
      </c>
      <c r="F23" s="356">
        <f>'Apportionment Bases'!E32</f>
        <v>157083</v>
      </c>
      <c r="G23" s="356">
        <f>'Apportionment Bases'!F32</f>
        <v>0</v>
      </c>
      <c r="H23" s="356">
        <f>'Apportionment Bases'!G32</f>
        <v>0</v>
      </c>
      <c r="I23" s="356">
        <f>'Apportionment Bases'!H32</f>
        <v>0</v>
      </c>
      <c r="J23" s="356">
        <f>'Apportionment Bases'!I32</f>
        <v>0</v>
      </c>
      <c r="K23" s="653">
        <f t="shared" si="1"/>
        <v>157083</v>
      </c>
      <c r="L23" s="654">
        <f t="shared" si="2"/>
        <v>8.7317031982448428E-3</v>
      </c>
      <c r="N23" s="675" t="str">
        <f t="shared" si="3"/>
        <v>Recycled Water Permits</v>
      </c>
      <c r="O23" s="356">
        <v>0</v>
      </c>
      <c r="P23" s="352">
        <v>0</v>
      </c>
      <c r="Q23" s="352">
        <v>0</v>
      </c>
      <c r="R23" s="352">
        <v>157083</v>
      </c>
      <c r="S23" s="352">
        <v>0</v>
      </c>
      <c r="T23" s="352">
        <v>0</v>
      </c>
      <c r="U23" s="352">
        <v>0</v>
      </c>
      <c r="V23" s="352">
        <v>0</v>
      </c>
      <c r="W23" s="653">
        <f t="shared" si="4"/>
        <v>157083</v>
      </c>
      <c r="X23" s="654">
        <f t="shared" si="5"/>
        <v>8.7317031982448428E-3</v>
      </c>
    </row>
    <row r="24" spans="2:24" ht="15.75" thickBot="1" x14ac:dyDescent="0.3">
      <c r="B24" s="741" t="str">
        <f>'Apportionment Bases'!A33</f>
        <v>Insurance</v>
      </c>
      <c r="C24" s="640">
        <f>'Apportionment Bases'!B33</f>
        <v>0</v>
      </c>
      <c r="D24" s="640">
        <f>'Apportionment Bases'!C33</f>
        <v>0</v>
      </c>
      <c r="E24" s="640">
        <f>'Apportionment Bases'!D33</f>
        <v>2199</v>
      </c>
      <c r="F24" s="640">
        <f>'Apportionment Bases'!E33</f>
        <v>0</v>
      </c>
      <c r="G24" s="640">
        <f>'Apportionment Bases'!F33</f>
        <v>0</v>
      </c>
      <c r="H24" s="640">
        <f>'Apportionment Bases'!G33</f>
        <v>0</v>
      </c>
      <c r="I24" s="640">
        <f>'Apportionment Bases'!H33</f>
        <v>0</v>
      </c>
      <c r="J24" s="640">
        <f>'Apportionment Bases'!I33</f>
        <v>0</v>
      </c>
      <c r="K24" s="673">
        <f t="shared" si="1"/>
        <v>2199</v>
      </c>
      <c r="L24" s="677">
        <f t="shared" si="2"/>
        <v>1.2223483975312675E-4</v>
      </c>
      <c r="N24" s="657" t="str">
        <f t="shared" si="3"/>
        <v>Insurance</v>
      </c>
      <c r="O24" s="640">
        <v>0</v>
      </c>
      <c r="P24" s="659">
        <v>0</v>
      </c>
      <c r="Q24" s="659">
        <v>2199</v>
      </c>
      <c r="R24" s="659">
        <v>0</v>
      </c>
      <c r="S24" s="659">
        <v>0</v>
      </c>
      <c r="T24" s="659">
        <v>0</v>
      </c>
      <c r="U24" s="659">
        <v>0</v>
      </c>
      <c r="V24" s="659">
        <v>0</v>
      </c>
      <c r="W24" s="673">
        <f t="shared" si="4"/>
        <v>2199</v>
      </c>
      <c r="X24" s="677">
        <f t="shared" si="5"/>
        <v>1.2223483975312675E-4</v>
      </c>
    </row>
    <row r="25" spans="2:24" ht="15.75" thickTop="1" x14ac:dyDescent="0.25">
      <c r="B25" s="716" t="s">
        <v>696</v>
      </c>
      <c r="C25" s="714">
        <f>'Cost Summary'!D18</f>
        <v>54</v>
      </c>
      <c r="D25" s="714">
        <f>'Cost Summary'!E18</f>
        <v>20</v>
      </c>
      <c r="E25" s="714">
        <f>'Cost Summary'!F18</f>
        <v>24</v>
      </c>
      <c r="F25" s="714">
        <f>'Cost Summary'!G18</f>
        <v>-35</v>
      </c>
      <c r="G25" s="714">
        <f>'Cost Summary'!H18</f>
        <v>-2</v>
      </c>
      <c r="H25" s="714">
        <f>'Cost Summary'!I18</f>
        <v>53</v>
      </c>
      <c r="I25" s="714">
        <f>'Cost Summary'!J18</f>
        <v>-7</v>
      </c>
      <c r="J25" s="714">
        <f>'Cost Summary'!K18</f>
        <v>-22</v>
      </c>
      <c r="K25" s="653">
        <f>SUM(C25:J25)</f>
        <v>85</v>
      </c>
      <c r="L25" s="715"/>
      <c r="N25" s="716" t="str">
        <f>B25</f>
        <v>Rounding</v>
      </c>
      <c r="O25" s="714">
        <f>C25</f>
        <v>54</v>
      </c>
      <c r="P25" s="714">
        <f t="shared" ref="P25:V25" si="6">D25</f>
        <v>20</v>
      </c>
      <c r="Q25" s="714">
        <f t="shared" si="6"/>
        <v>24</v>
      </c>
      <c r="R25" s="714">
        <f t="shared" si="6"/>
        <v>-35</v>
      </c>
      <c r="S25" s="714">
        <f t="shared" si="6"/>
        <v>-2</v>
      </c>
      <c r="T25" s="714">
        <f t="shared" si="6"/>
        <v>53</v>
      </c>
      <c r="U25" s="714">
        <f t="shared" si="6"/>
        <v>-7</v>
      </c>
      <c r="V25" s="714">
        <f t="shared" si="6"/>
        <v>-22</v>
      </c>
      <c r="W25" s="653">
        <f>K25</f>
        <v>85</v>
      </c>
      <c r="X25" s="715"/>
    </row>
    <row r="26" spans="2:24" ht="15.75" thickBot="1" x14ac:dyDescent="0.3">
      <c r="B26" s="53" t="s">
        <v>187</v>
      </c>
      <c r="C26" s="24">
        <f>SUM(C3:C25)</f>
        <v>5689556</v>
      </c>
      <c r="D26" s="24">
        <f t="shared" ref="D26:K26" si="7">SUM(D3:D25)</f>
        <v>475884</v>
      </c>
      <c r="E26" s="24">
        <f t="shared" si="7"/>
        <v>192224</v>
      </c>
      <c r="F26" s="24">
        <f t="shared" si="7"/>
        <v>244872</v>
      </c>
      <c r="G26" s="24">
        <f t="shared" si="7"/>
        <v>3000388</v>
      </c>
      <c r="H26" s="24">
        <f t="shared" si="7"/>
        <v>7849617</v>
      </c>
      <c r="I26" s="24">
        <f t="shared" si="7"/>
        <v>63224</v>
      </c>
      <c r="J26" s="24">
        <f t="shared" si="7"/>
        <v>474196</v>
      </c>
      <c r="K26" s="24">
        <f t="shared" si="7"/>
        <v>17989961</v>
      </c>
      <c r="L26" s="663">
        <f>SUM(L3:L24)</f>
        <v>0.99999527514261988</v>
      </c>
      <c r="N26" s="53" t="s">
        <v>187</v>
      </c>
      <c r="O26" s="24">
        <f>SUM(O3:O25)</f>
        <v>5689556</v>
      </c>
      <c r="P26" s="24">
        <f t="shared" ref="P26" si="8">SUM(P3:P25)</f>
        <v>475884</v>
      </c>
      <c r="Q26" s="24">
        <f t="shared" ref="Q26" si="9">SUM(Q3:Q25)</f>
        <v>192224</v>
      </c>
      <c r="R26" s="24">
        <f t="shared" ref="R26" si="10">SUM(R3:R25)</f>
        <v>244872</v>
      </c>
      <c r="S26" s="24">
        <f t="shared" ref="S26" si="11">SUM(S3:S25)</f>
        <v>3000388</v>
      </c>
      <c r="T26" s="24">
        <f t="shared" ref="T26" si="12">SUM(T3:T25)</f>
        <v>7849617</v>
      </c>
      <c r="U26" s="24">
        <f t="shared" ref="U26" si="13">SUM(U3:U25)</f>
        <v>63224</v>
      </c>
      <c r="V26" s="24">
        <f t="shared" ref="V26" si="14">SUM(V3:V25)</f>
        <v>474196</v>
      </c>
      <c r="W26" s="24">
        <f t="shared" ref="W26" si="15">SUM(W3:W25)</f>
        <v>17989961</v>
      </c>
      <c r="X26" s="663">
        <f>SUM(X3:X24)</f>
        <v>0.9999952751426201</v>
      </c>
    </row>
    <row r="27" spans="2:24" ht="15.75" thickTop="1" x14ac:dyDescent="0.25"/>
    <row r="29" spans="2:24" ht="31.5" thickBot="1" x14ac:dyDescent="0.35">
      <c r="B29" s="646" t="str">
        <f>B2</f>
        <v>Apportionment Basis</v>
      </c>
      <c r="C29" s="647" t="str">
        <f t="shared" ref="C29:L29" si="16">C2</f>
        <v>PC2</v>
      </c>
      <c r="D29" s="647" t="str">
        <f t="shared" si="16"/>
        <v>PC5</v>
      </c>
      <c r="E29" s="647" t="str">
        <f t="shared" si="16"/>
        <v>PC8</v>
      </c>
      <c r="F29" s="647" t="str">
        <f t="shared" si="16"/>
        <v>PC12</v>
      </c>
      <c r="G29" s="647" t="str">
        <f t="shared" si="16"/>
        <v>PC15</v>
      </c>
      <c r="H29" s="647" t="str">
        <f t="shared" si="16"/>
        <v>PC17</v>
      </c>
      <c r="I29" s="647" t="str">
        <f t="shared" si="16"/>
        <v>PC21</v>
      </c>
      <c r="J29" s="647" t="str">
        <f t="shared" si="16"/>
        <v>PC24</v>
      </c>
      <c r="K29" s="666" t="s">
        <v>714</v>
      </c>
      <c r="L29" s="648" t="str">
        <f t="shared" si="16"/>
        <v>%</v>
      </c>
    </row>
    <row r="30" spans="2:24" ht="15.75" thickTop="1" x14ac:dyDescent="0.25">
      <c r="B30" s="667" t="str">
        <f>B3</f>
        <v>Labor - Actual Use</v>
      </c>
      <c r="C30" s="356">
        <f>C3-O3</f>
        <v>-23333</v>
      </c>
      <c r="D30" s="356">
        <f t="shared" ref="D30:J30" si="17">D3-P3</f>
        <v>0</v>
      </c>
      <c r="E30" s="356">
        <f t="shared" si="17"/>
        <v>0</v>
      </c>
      <c r="F30" s="356">
        <f t="shared" si="17"/>
        <v>0</v>
      </c>
      <c r="G30" s="356">
        <f t="shared" si="17"/>
        <v>-23333</v>
      </c>
      <c r="H30" s="356">
        <f t="shared" si="17"/>
        <v>0</v>
      </c>
      <c r="I30" s="356">
        <f t="shared" si="17"/>
        <v>0</v>
      </c>
      <c r="J30" s="356">
        <f t="shared" si="17"/>
        <v>0</v>
      </c>
      <c r="K30" s="668">
        <f>K3-W3</f>
        <v>-46666</v>
      </c>
      <c r="L30" s="669">
        <f>L3-X3</f>
        <v>-2.5940022882762204E-3</v>
      </c>
    </row>
    <row r="31" spans="2:24" x14ac:dyDescent="0.25">
      <c r="B31" s="667" t="str">
        <f t="shared" ref="B31:B51" si="18">B4</f>
        <v>Labor - Allocation</v>
      </c>
      <c r="C31" s="356">
        <f t="shared" ref="C31:C51" si="19">C4-O4</f>
        <v>-25500</v>
      </c>
      <c r="D31" s="356">
        <f t="shared" ref="D31:D51" si="20">D4-P4</f>
        <v>0</v>
      </c>
      <c r="E31" s="356">
        <f t="shared" ref="E31:E51" si="21">E4-Q4</f>
        <v>0</v>
      </c>
      <c r="F31" s="356">
        <f t="shared" ref="F31:F51" si="22">F4-R4</f>
        <v>0</v>
      </c>
      <c r="G31" s="356">
        <f t="shared" ref="G31:G51" si="23">G4-S4</f>
        <v>-13200</v>
      </c>
      <c r="H31" s="356">
        <f t="shared" ref="H31:H51" si="24">H4-T4</f>
        <v>-45333</v>
      </c>
      <c r="I31" s="356">
        <f t="shared" ref="I31:I51" si="25">I4-U4</f>
        <v>0</v>
      </c>
      <c r="J31" s="356">
        <f t="shared" ref="J31:J51" si="26">J4-V4</f>
        <v>0</v>
      </c>
      <c r="K31" s="668">
        <f t="shared" ref="K31:K51" si="27">K4-W4</f>
        <v>-84033</v>
      </c>
      <c r="L31" s="669">
        <f t="shared" ref="L31:L51" si="28">L4-X4</f>
        <v>-4.6711051791607505E-3</v>
      </c>
    </row>
    <row r="32" spans="2:24" x14ac:dyDescent="0.25">
      <c r="B32" s="667" t="str">
        <f t="shared" si="18"/>
        <v>Labor - Overtime</v>
      </c>
      <c r="C32" s="356">
        <f t="shared" si="19"/>
        <v>0</v>
      </c>
      <c r="D32" s="356">
        <f t="shared" si="20"/>
        <v>0</v>
      </c>
      <c r="E32" s="356">
        <f t="shared" si="21"/>
        <v>0</v>
      </c>
      <c r="F32" s="356">
        <f t="shared" si="22"/>
        <v>0</v>
      </c>
      <c r="G32" s="356">
        <f t="shared" si="23"/>
        <v>0</v>
      </c>
      <c r="H32" s="356">
        <f t="shared" si="24"/>
        <v>0</v>
      </c>
      <c r="I32" s="356">
        <f t="shared" si="25"/>
        <v>0</v>
      </c>
      <c r="J32" s="356">
        <f t="shared" si="26"/>
        <v>0</v>
      </c>
      <c r="K32" s="668">
        <f t="shared" si="27"/>
        <v>0</v>
      </c>
      <c r="L32" s="669">
        <f t="shared" si="28"/>
        <v>0</v>
      </c>
    </row>
    <row r="33" spans="2:12" ht="15.75" thickBot="1" x14ac:dyDescent="0.3">
      <c r="B33" s="681" t="str">
        <f t="shared" si="18"/>
        <v>Actual Use - Bills Coded</v>
      </c>
      <c r="C33" s="676">
        <f t="shared" si="19"/>
        <v>0</v>
      </c>
      <c r="D33" s="640">
        <f t="shared" si="20"/>
        <v>0</v>
      </c>
      <c r="E33" s="640">
        <f t="shared" si="21"/>
        <v>0</v>
      </c>
      <c r="F33" s="640">
        <f t="shared" si="22"/>
        <v>0</v>
      </c>
      <c r="G33" s="640">
        <f t="shared" si="23"/>
        <v>0</v>
      </c>
      <c r="H33" s="640">
        <f t="shared" si="24"/>
        <v>0</v>
      </c>
      <c r="I33" s="640">
        <f t="shared" si="25"/>
        <v>0</v>
      </c>
      <c r="J33" s="640">
        <f t="shared" si="26"/>
        <v>0</v>
      </c>
      <c r="K33" s="670">
        <f t="shared" si="27"/>
        <v>0</v>
      </c>
      <c r="L33" s="671">
        <f t="shared" si="28"/>
        <v>0</v>
      </c>
    </row>
    <row r="34" spans="2:12" ht="15.75" thickTop="1" x14ac:dyDescent="0.25">
      <c r="B34" s="682" t="str">
        <f t="shared" si="18"/>
        <v>Common</v>
      </c>
      <c r="C34" s="356">
        <f t="shared" si="19"/>
        <v>48833</v>
      </c>
      <c r="D34" s="356">
        <f t="shared" si="20"/>
        <v>0</v>
      </c>
      <c r="E34" s="356">
        <f t="shared" si="21"/>
        <v>0</v>
      </c>
      <c r="F34" s="356">
        <f t="shared" si="22"/>
        <v>0</v>
      </c>
      <c r="G34" s="356">
        <f t="shared" si="23"/>
        <v>36533</v>
      </c>
      <c r="H34" s="356">
        <f t="shared" si="24"/>
        <v>45333</v>
      </c>
      <c r="I34" s="356">
        <f t="shared" si="25"/>
        <v>0</v>
      </c>
      <c r="J34" s="356">
        <f t="shared" si="26"/>
        <v>0</v>
      </c>
      <c r="K34" s="668">
        <f>K7-W7</f>
        <v>130699</v>
      </c>
      <c r="L34" s="669">
        <f t="shared" si="28"/>
        <v>7.2651074674369709E-3</v>
      </c>
    </row>
    <row r="35" spans="2:12" x14ac:dyDescent="0.25">
      <c r="B35" s="683" t="str">
        <f t="shared" si="18"/>
        <v>Solids</v>
      </c>
      <c r="C35" s="356">
        <f t="shared" si="19"/>
        <v>0</v>
      </c>
      <c r="D35" s="356">
        <f t="shared" si="20"/>
        <v>0</v>
      </c>
      <c r="E35" s="356">
        <f t="shared" si="21"/>
        <v>0</v>
      </c>
      <c r="F35" s="356">
        <f t="shared" si="22"/>
        <v>0</v>
      </c>
      <c r="G35" s="356">
        <f t="shared" si="23"/>
        <v>0</v>
      </c>
      <c r="H35" s="356">
        <f t="shared" si="24"/>
        <v>0</v>
      </c>
      <c r="I35" s="356">
        <f t="shared" si="25"/>
        <v>0</v>
      </c>
      <c r="J35" s="356">
        <f t="shared" si="26"/>
        <v>0</v>
      </c>
      <c r="K35" s="668">
        <f t="shared" si="27"/>
        <v>0</v>
      </c>
      <c r="L35" s="669">
        <f t="shared" si="28"/>
        <v>0</v>
      </c>
    </row>
    <row r="36" spans="2:12" x14ac:dyDescent="0.25">
      <c r="B36" s="683" t="str">
        <f t="shared" si="18"/>
        <v>Liquids</v>
      </c>
      <c r="C36" s="356">
        <f t="shared" si="19"/>
        <v>0</v>
      </c>
      <c r="D36" s="356">
        <f t="shared" si="20"/>
        <v>0</v>
      </c>
      <c r="E36" s="356">
        <f t="shared" si="21"/>
        <v>0</v>
      </c>
      <c r="F36" s="356">
        <f t="shared" si="22"/>
        <v>0</v>
      </c>
      <c r="G36" s="356">
        <f t="shared" si="23"/>
        <v>0</v>
      </c>
      <c r="H36" s="356">
        <f t="shared" si="24"/>
        <v>0</v>
      </c>
      <c r="I36" s="356">
        <f t="shared" si="25"/>
        <v>0</v>
      </c>
      <c r="J36" s="356">
        <f t="shared" si="26"/>
        <v>0</v>
      </c>
      <c r="K36" s="668">
        <f t="shared" si="27"/>
        <v>0</v>
      </c>
      <c r="L36" s="669">
        <f t="shared" si="28"/>
        <v>0</v>
      </c>
    </row>
    <row r="37" spans="2:12" ht="15.75" thickBot="1" x14ac:dyDescent="0.3">
      <c r="B37" s="684" t="str">
        <f t="shared" si="18"/>
        <v>AWT</v>
      </c>
      <c r="C37" s="676">
        <f t="shared" si="19"/>
        <v>0</v>
      </c>
      <c r="D37" s="640">
        <f t="shared" si="20"/>
        <v>0</v>
      </c>
      <c r="E37" s="640">
        <f t="shared" si="21"/>
        <v>0</v>
      </c>
      <c r="F37" s="640">
        <f t="shared" si="22"/>
        <v>0</v>
      </c>
      <c r="G37" s="640">
        <f t="shared" si="23"/>
        <v>0</v>
      </c>
      <c r="H37" s="640">
        <f t="shared" si="24"/>
        <v>0</v>
      </c>
      <c r="I37" s="640">
        <f t="shared" si="25"/>
        <v>0</v>
      </c>
      <c r="J37" s="640">
        <f t="shared" si="26"/>
        <v>0</v>
      </c>
      <c r="K37" s="670">
        <f t="shared" si="27"/>
        <v>0</v>
      </c>
      <c r="L37" s="671">
        <f t="shared" si="28"/>
        <v>0</v>
      </c>
    </row>
    <row r="38" spans="2:12" ht="15.75" thickTop="1" x14ac:dyDescent="0.25">
      <c r="B38" s="680" t="str">
        <f t="shared" si="18"/>
        <v>Outfall - Fixed</v>
      </c>
      <c r="C38" s="356">
        <f t="shared" si="19"/>
        <v>0</v>
      </c>
      <c r="D38" s="356">
        <f t="shared" si="20"/>
        <v>164491</v>
      </c>
      <c r="E38" s="356">
        <f t="shared" si="21"/>
        <v>0</v>
      </c>
      <c r="F38" s="356">
        <f t="shared" si="22"/>
        <v>0</v>
      </c>
      <c r="G38" s="356">
        <f t="shared" si="23"/>
        <v>0</v>
      </c>
      <c r="H38" s="356">
        <f t="shared" si="24"/>
        <v>0</v>
      </c>
      <c r="I38" s="356">
        <f t="shared" si="25"/>
        <v>0</v>
      </c>
      <c r="J38" s="356">
        <f t="shared" si="26"/>
        <v>82584</v>
      </c>
      <c r="K38" s="668">
        <f t="shared" si="27"/>
        <v>247075</v>
      </c>
      <c r="L38" s="669">
        <f t="shared" si="28"/>
        <v>1.3734048673034922E-2</v>
      </c>
    </row>
    <row r="39" spans="2:12" x14ac:dyDescent="0.25">
      <c r="B39" s="667" t="str">
        <f t="shared" si="18"/>
        <v>Outfall - Variable</v>
      </c>
      <c r="C39" s="356">
        <f t="shared" si="19"/>
        <v>0</v>
      </c>
      <c r="D39" s="356">
        <f t="shared" si="20"/>
        <v>-164491</v>
      </c>
      <c r="E39" s="356">
        <f t="shared" si="21"/>
        <v>0</v>
      </c>
      <c r="F39" s="356">
        <f t="shared" si="22"/>
        <v>0</v>
      </c>
      <c r="G39" s="356">
        <f t="shared" si="23"/>
        <v>0</v>
      </c>
      <c r="H39" s="356">
        <f t="shared" si="24"/>
        <v>0</v>
      </c>
      <c r="I39" s="356">
        <f t="shared" si="25"/>
        <v>0</v>
      </c>
      <c r="J39" s="356">
        <f t="shared" si="26"/>
        <v>-82584</v>
      </c>
      <c r="K39" s="668">
        <f t="shared" si="27"/>
        <v>-247075</v>
      </c>
      <c r="L39" s="669">
        <f t="shared" si="28"/>
        <v>-1.373404867303492E-2</v>
      </c>
    </row>
    <row r="40" spans="2:12" ht="15.75" thickBot="1" x14ac:dyDescent="0.3">
      <c r="B40" s="681" t="str">
        <f t="shared" si="18"/>
        <v>ETM</v>
      </c>
      <c r="C40" s="676">
        <f t="shared" si="19"/>
        <v>0</v>
      </c>
      <c r="D40" s="640">
        <f t="shared" si="20"/>
        <v>0</v>
      </c>
      <c r="E40" s="640">
        <f t="shared" si="21"/>
        <v>0</v>
      </c>
      <c r="F40" s="640">
        <f t="shared" si="22"/>
        <v>0</v>
      </c>
      <c r="G40" s="640">
        <f t="shared" si="23"/>
        <v>0</v>
      </c>
      <c r="H40" s="640">
        <f t="shared" si="24"/>
        <v>0</v>
      </c>
      <c r="I40" s="640">
        <f t="shared" si="25"/>
        <v>0</v>
      </c>
      <c r="J40" s="640">
        <f t="shared" si="26"/>
        <v>0</v>
      </c>
      <c r="K40" s="670">
        <f t="shared" si="27"/>
        <v>0</v>
      </c>
      <c r="L40" s="671">
        <f t="shared" si="28"/>
        <v>0</v>
      </c>
    </row>
    <row r="41" spans="2:12" ht="15.75" thickTop="1" x14ac:dyDescent="0.25">
      <c r="B41" s="680" t="str">
        <f t="shared" si="18"/>
        <v>Electricity</v>
      </c>
      <c r="C41" s="356">
        <f t="shared" si="19"/>
        <v>0</v>
      </c>
      <c r="D41" s="356">
        <f t="shared" si="20"/>
        <v>0</v>
      </c>
      <c r="E41" s="356">
        <f t="shared" si="21"/>
        <v>0</v>
      </c>
      <c r="F41" s="356">
        <f t="shared" si="22"/>
        <v>0</v>
      </c>
      <c r="G41" s="356">
        <f t="shared" si="23"/>
        <v>0</v>
      </c>
      <c r="H41" s="356">
        <f t="shared" si="24"/>
        <v>0</v>
      </c>
      <c r="I41" s="356">
        <f t="shared" si="25"/>
        <v>0</v>
      </c>
      <c r="J41" s="356">
        <f t="shared" si="26"/>
        <v>0</v>
      </c>
      <c r="K41" s="668">
        <f t="shared" si="27"/>
        <v>0</v>
      </c>
      <c r="L41" s="669">
        <f t="shared" si="28"/>
        <v>0</v>
      </c>
    </row>
    <row r="42" spans="2:12" x14ac:dyDescent="0.25">
      <c r="B42" s="667" t="str">
        <f t="shared" si="18"/>
        <v>Natural Gas</v>
      </c>
      <c r="C42" s="356">
        <f t="shared" si="19"/>
        <v>0</v>
      </c>
      <c r="D42" s="356">
        <f t="shared" si="20"/>
        <v>0</v>
      </c>
      <c r="E42" s="356">
        <f t="shared" si="21"/>
        <v>0</v>
      </c>
      <c r="F42" s="356">
        <f t="shared" si="22"/>
        <v>0</v>
      </c>
      <c r="G42" s="356">
        <f t="shared" si="23"/>
        <v>0</v>
      </c>
      <c r="H42" s="356">
        <f t="shared" si="24"/>
        <v>0</v>
      </c>
      <c r="I42" s="356">
        <f t="shared" si="25"/>
        <v>0</v>
      </c>
      <c r="J42" s="356">
        <f t="shared" si="26"/>
        <v>0</v>
      </c>
      <c r="K42" s="668">
        <f t="shared" si="27"/>
        <v>0</v>
      </c>
      <c r="L42" s="669">
        <f t="shared" si="28"/>
        <v>0</v>
      </c>
    </row>
    <row r="43" spans="2:12" x14ac:dyDescent="0.25">
      <c r="B43" s="667" t="str">
        <f t="shared" si="18"/>
        <v>Potable &amp; Reclaimed Water</v>
      </c>
      <c r="C43" s="356">
        <f t="shared" si="19"/>
        <v>0</v>
      </c>
      <c r="D43" s="356">
        <f t="shared" si="20"/>
        <v>0</v>
      </c>
      <c r="E43" s="356">
        <f t="shared" si="21"/>
        <v>0</v>
      </c>
      <c r="F43" s="356">
        <f t="shared" si="22"/>
        <v>0</v>
      </c>
      <c r="G43" s="356">
        <f t="shared" si="23"/>
        <v>0</v>
      </c>
      <c r="H43" s="356">
        <f t="shared" si="24"/>
        <v>0</v>
      </c>
      <c r="I43" s="356">
        <f t="shared" si="25"/>
        <v>0</v>
      </c>
      <c r="J43" s="356">
        <f t="shared" si="26"/>
        <v>0</v>
      </c>
      <c r="K43" s="668">
        <f t="shared" si="27"/>
        <v>0</v>
      </c>
      <c r="L43" s="669">
        <f t="shared" si="28"/>
        <v>0</v>
      </c>
    </row>
    <row r="44" spans="2:12" x14ac:dyDescent="0.25">
      <c r="B44" s="667" t="str">
        <f t="shared" si="18"/>
        <v>Chlorine/Sodium Hypochlorite</v>
      </c>
      <c r="C44" s="356">
        <f t="shared" si="19"/>
        <v>0</v>
      </c>
      <c r="D44" s="356">
        <f t="shared" si="20"/>
        <v>0</v>
      </c>
      <c r="E44" s="356">
        <f t="shared" si="21"/>
        <v>0</v>
      </c>
      <c r="F44" s="356">
        <f t="shared" si="22"/>
        <v>0</v>
      </c>
      <c r="G44" s="356">
        <f t="shared" si="23"/>
        <v>0</v>
      </c>
      <c r="H44" s="356">
        <f t="shared" si="24"/>
        <v>0</v>
      </c>
      <c r="I44" s="356">
        <f t="shared" si="25"/>
        <v>0</v>
      </c>
      <c r="J44" s="356">
        <f t="shared" si="26"/>
        <v>0</v>
      </c>
      <c r="K44" s="668">
        <f t="shared" si="27"/>
        <v>0</v>
      </c>
      <c r="L44" s="669">
        <f t="shared" si="28"/>
        <v>0</v>
      </c>
    </row>
    <row r="45" spans="2:12" x14ac:dyDescent="0.25">
      <c r="B45" s="667" t="str">
        <f t="shared" si="18"/>
        <v>Polymer Products</v>
      </c>
      <c r="C45" s="356">
        <f t="shared" si="19"/>
        <v>0</v>
      </c>
      <c r="D45" s="356">
        <f t="shared" si="20"/>
        <v>0</v>
      </c>
      <c r="E45" s="356">
        <f t="shared" si="21"/>
        <v>0</v>
      </c>
      <c r="F45" s="356">
        <f t="shared" si="22"/>
        <v>0</v>
      </c>
      <c r="G45" s="356">
        <f t="shared" si="23"/>
        <v>0</v>
      </c>
      <c r="H45" s="356">
        <f t="shared" si="24"/>
        <v>0</v>
      </c>
      <c r="I45" s="356">
        <f t="shared" si="25"/>
        <v>0</v>
      </c>
      <c r="J45" s="356">
        <f t="shared" si="26"/>
        <v>0</v>
      </c>
      <c r="K45" s="668">
        <f t="shared" si="27"/>
        <v>0</v>
      </c>
      <c r="L45" s="669">
        <f t="shared" si="28"/>
        <v>0</v>
      </c>
    </row>
    <row r="46" spans="2:12" x14ac:dyDescent="0.25">
      <c r="B46" s="667" t="str">
        <f t="shared" si="18"/>
        <v>Ferric Chloride</v>
      </c>
      <c r="C46" s="356">
        <f t="shared" si="19"/>
        <v>0</v>
      </c>
      <c r="D46" s="356">
        <f t="shared" si="20"/>
        <v>0</v>
      </c>
      <c r="E46" s="356">
        <f t="shared" si="21"/>
        <v>0</v>
      </c>
      <c r="F46" s="356">
        <f t="shared" si="22"/>
        <v>0</v>
      </c>
      <c r="G46" s="356">
        <f t="shared" si="23"/>
        <v>0</v>
      </c>
      <c r="H46" s="356">
        <f t="shared" si="24"/>
        <v>0</v>
      </c>
      <c r="I46" s="356">
        <f t="shared" si="25"/>
        <v>0</v>
      </c>
      <c r="J46" s="356">
        <f t="shared" si="26"/>
        <v>0</v>
      </c>
      <c r="K46" s="668">
        <f t="shared" si="27"/>
        <v>0</v>
      </c>
      <c r="L46" s="669">
        <f t="shared" si="28"/>
        <v>0</v>
      </c>
    </row>
    <row r="47" spans="2:12" x14ac:dyDescent="0.25">
      <c r="B47" s="667" t="str">
        <f t="shared" si="18"/>
        <v>Odor Control Chemicals</v>
      </c>
      <c r="C47" s="356">
        <f t="shared" si="19"/>
        <v>0</v>
      </c>
      <c r="D47" s="356">
        <f t="shared" si="20"/>
        <v>0</v>
      </c>
      <c r="E47" s="356">
        <f t="shared" si="21"/>
        <v>0</v>
      </c>
      <c r="F47" s="356">
        <f t="shared" si="22"/>
        <v>0</v>
      </c>
      <c r="G47" s="356">
        <f t="shared" si="23"/>
        <v>0</v>
      </c>
      <c r="H47" s="356">
        <f t="shared" si="24"/>
        <v>0</v>
      </c>
      <c r="I47" s="356">
        <f t="shared" si="25"/>
        <v>0</v>
      </c>
      <c r="J47" s="356">
        <f t="shared" si="26"/>
        <v>0</v>
      </c>
      <c r="K47" s="668">
        <f t="shared" si="27"/>
        <v>0</v>
      </c>
      <c r="L47" s="669">
        <f t="shared" si="28"/>
        <v>0</v>
      </c>
    </row>
    <row r="48" spans="2:12" x14ac:dyDescent="0.25">
      <c r="B48" s="667" t="str">
        <f t="shared" si="18"/>
        <v>Laboratory</v>
      </c>
      <c r="C48" s="356">
        <f t="shared" si="19"/>
        <v>0</v>
      </c>
      <c r="D48" s="356">
        <f t="shared" si="20"/>
        <v>0</v>
      </c>
      <c r="E48" s="356">
        <f t="shared" si="21"/>
        <v>0</v>
      </c>
      <c r="F48" s="356">
        <f t="shared" si="22"/>
        <v>0</v>
      </c>
      <c r="G48" s="356">
        <f t="shared" si="23"/>
        <v>0</v>
      </c>
      <c r="H48" s="356">
        <f t="shared" si="24"/>
        <v>0</v>
      </c>
      <c r="I48" s="356">
        <f t="shared" si="25"/>
        <v>0</v>
      </c>
      <c r="J48" s="356">
        <f t="shared" si="26"/>
        <v>0</v>
      </c>
      <c r="K48" s="668">
        <f t="shared" si="27"/>
        <v>0</v>
      </c>
      <c r="L48" s="669">
        <f t="shared" si="28"/>
        <v>0</v>
      </c>
    </row>
    <row r="49" spans="2:12" x14ac:dyDescent="0.25">
      <c r="B49" s="667" t="str">
        <f t="shared" si="18"/>
        <v>Petroleum Products</v>
      </c>
      <c r="C49" s="356">
        <f t="shared" si="19"/>
        <v>0</v>
      </c>
      <c r="D49" s="356">
        <f t="shared" si="20"/>
        <v>0</v>
      </c>
      <c r="E49" s="356">
        <f t="shared" si="21"/>
        <v>0</v>
      </c>
      <c r="F49" s="356">
        <f t="shared" si="22"/>
        <v>0</v>
      </c>
      <c r="G49" s="356">
        <f t="shared" si="23"/>
        <v>0</v>
      </c>
      <c r="H49" s="356">
        <f t="shared" si="24"/>
        <v>0</v>
      </c>
      <c r="I49" s="356">
        <f t="shared" si="25"/>
        <v>0</v>
      </c>
      <c r="J49" s="356">
        <f t="shared" si="26"/>
        <v>0</v>
      </c>
      <c r="K49" s="668">
        <f t="shared" si="27"/>
        <v>0</v>
      </c>
      <c r="L49" s="669">
        <f t="shared" si="28"/>
        <v>0</v>
      </c>
    </row>
    <row r="50" spans="2:12" x14ac:dyDescent="0.25">
      <c r="B50" s="675" t="str">
        <f t="shared" si="18"/>
        <v>Recycled Water Permits</v>
      </c>
      <c r="C50" s="356">
        <f t="shared" si="19"/>
        <v>0</v>
      </c>
      <c r="D50" s="356">
        <f t="shared" si="20"/>
        <v>0</v>
      </c>
      <c r="E50" s="356">
        <f t="shared" si="21"/>
        <v>0</v>
      </c>
      <c r="F50" s="356">
        <f t="shared" si="22"/>
        <v>0</v>
      </c>
      <c r="G50" s="356">
        <f t="shared" si="23"/>
        <v>0</v>
      </c>
      <c r="H50" s="356">
        <f t="shared" si="24"/>
        <v>0</v>
      </c>
      <c r="I50" s="356">
        <f t="shared" si="25"/>
        <v>0</v>
      </c>
      <c r="J50" s="356">
        <f t="shared" si="26"/>
        <v>0</v>
      </c>
      <c r="K50" s="668">
        <f t="shared" si="27"/>
        <v>0</v>
      </c>
      <c r="L50" s="669">
        <f t="shared" si="28"/>
        <v>0</v>
      </c>
    </row>
    <row r="51" spans="2:12" ht="15.75" thickBot="1" x14ac:dyDescent="0.3">
      <c r="B51" s="681" t="str">
        <f t="shared" si="18"/>
        <v>Insurance</v>
      </c>
      <c r="C51" s="676">
        <f t="shared" si="19"/>
        <v>0</v>
      </c>
      <c r="D51" s="640">
        <f t="shared" si="20"/>
        <v>0</v>
      </c>
      <c r="E51" s="640">
        <f t="shared" si="21"/>
        <v>0</v>
      </c>
      <c r="F51" s="640">
        <f t="shared" si="22"/>
        <v>0</v>
      </c>
      <c r="G51" s="640">
        <f t="shared" si="23"/>
        <v>0</v>
      </c>
      <c r="H51" s="640">
        <f t="shared" si="24"/>
        <v>0</v>
      </c>
      <c r="I51" s="640">
        <f t="shared" si="25"/>
        <v>0</v>
      </c>
      <c r="J51" s="640">
        <f t="shared" si="26"/>
        <v>0</v>
      </c>
      <c r="K51" s="670">
        <f t="shared" si="27"/>
        <v>0</v>
      </c>
      <c r="L51" s="671">
        <f t="shared" si="28"/>
        <v>0</v>
      </c>
    </row>
    <row r="52" spans="2:12" ht="16.5" thickTop="1" thickBot="1" x14ac:dyDescent="0.3">
      <c r="B52" s="742" t="s">
        <v>731</v>
      </c>
      <c r="C52" s="637">
        <f>C26-O26</f>
        <v>0</v>
      </c>
      <c r="D52" s="637">
        <f t="shared" ref="D52:K52" si="29">D26-P26</f>
        <v>0</v>
      </c>
      <c r="E52" s="637">
        <f t="shared" si="29"/>
        <v>0</v>
      </c>
      <c r="F52" s="637">
        <f t="shared" si="29"/>
        <v>0</v>
      </c>
      <c r="G52" s="637">
        <f t="shared" si="29"/>
        <v>0</v>
      </c>
      <c r="H52" s="637">
        <f t="shared" si="29"/>
        <v>0</v>
      </c>
      <c r="I52" s="637">
        <f t="shared" si="29"/>
        <v>0</v>
      </c>
      <c r="J52" s="637">
        <f t="shared" si="29"/>
        <v>0</v>
      </c>
      <c r="K52" s="637">
        <f t="shared" si="29"/>
        <v>0</v>
      </c>
      <c r="L52" s="745"/>
    </row>
    <row r="53" spans="2:12" ht="15.75" thickTop="1" x14ac:dyDescent="0.25"/>
  </sheetData>
  <mergeCells count="2">
    <mergeCell ref="B1:L1"/>
    <mergeCell ref="N1:X1"/>
  </mergeCells>
  <conditionalFormatting sqref="B45">
    <cfRule type="containsText" dxfId="693" priority="139" operator="containsText" text="Polymer Products">
      <formula>NOT(ISERROR(SEARCH("Polymer Products",B45)))</formula>
    </cfRule>
  </conditionalFormatting>
  <conditionalFormatting sqref="N26:N27 B3:B25 B30:B51">
    <cfRule type="containsText" dxfId="692" priority="142" operator="containsText" text="Insurance">
      <formula>NOT(ISERROR(SEARCH("Insurance",B3)))</formula>
    </cfRule>
    <cfRule type="containsText" dxfId="691" priority="143" operator="containsText" text="Region 9">
      <formula>NOT(ISERROR(SEARCH("Region 9",B3)))</formula>
    </cfRule>
    <cfRule type="containsText" dxfId="690" priority="144" operator="containsText" text="ETM">
      <formula>NOT(ISERROR(SEARCH("ETM",B3)))</formula>
    </cfRule>
    <cfRule type="containsText" dxfId="689" priority="145" operator="containsText" text="Outfall">
      <formula>NOT(ISERROR(SEARCH("Outfall",B3)))</formula>
    </cfRule>
    <cfRule type="containsText" dxfId="688" priority="146" operator="containsText" text="Petroleum">
      <formula>NOT(ISERROR(SEARCH("Petroleum",B3)))</formula>
    </cfRule>
    <cfRule type="containsText" dxfId="687" priority="147" operator="containsText" text="Laboratory">
      <formula>NOT(ISERROR(SEARCH("Laboratory",B3)))</formula>
    </cfRule>
    <cfRule type="containsText" dxfId="686" priority="148" operator="containsText" text="Odor Control">
      <formula>NOT(ISERROR(SEARCH("Odor Control",B3)))</formula>
    </cfRule>
    <cfRule type="containsText" dxfId="685" priority="149" operator="containsText" text="Ferric">
      <formula>NOT(ISERROR(SEARCH("Ferric",B3)))</formula>
    </cfRule>
    <cfRule type="containsText" dxfId="684" priority="150" operator="containsText" text="Chlorine">
      <formula>NOT(ISERROR(SEARCH("Chlorine",B3)))</formula>
    </cfRule>
    <cfRule type="containsText" dxfId="683" priority="151" operator="containsText" text="Potable">
      <formula>NOT(ISERROR(SEARCH("Potable",B3)))</formula>
    </cfRule>
    <cfRule type="containsText" dxfId="682" priority="152" operator="containsText" text="Natural Gas">
      <formula>NOT(ISERROR(SEARCH("Natural Gas",B3)))</formula>
    </cfRule>
    <cfRule type="containsText" dxfId="681" priority="153" operator="containsText" text="Electricity">
      <formula>NOT(ISERROR(SEARCH("Electricity",B3)))</formula>
    </cfRule>
    <cfRule type="containsText" dxfId="680" priority="154" operator="containsText" text="Single Area">
      <formula>NOT(ISERROR(SEARCH("Single Area",B3)))</formula>
    </cfRule>
    <cfRule type="containsText" dxfId="679" priority="155" operator="containsText" text="Actual Use">
      <formula>NOT(ISERROR(SEARCH("Actual Use",B3)))</formula>
    </cfRule>
    <cfRule type="containsText" dxfId="678" priority="156" operator="containsText" text="Labor -">
      <formula>NOT(ISERROR(SEARCH("Labor -",B3)))</formula>
    </cfRule>
  </conditionalFormatting>
  <conditionalFormatting sqref="B18">
    <cfRule type="containsText" dxfId="677" priority="141" operator="containsText" text="Polymer Products">
      <formula>NOT(ISERROR(SEARCH("Polymer Products",B18)))</formula>
    </cfRule>
  </conditionalFormatting>
  <conditionalFormatting sqref="B2">
    <cfRule type="containsText" dxfId="676" priority="122" operator="containsText" text="Insurance">
      <formula>NOT(ISERROR(SEARCH("Insurance",B2)))</formula>
    </cfRule>
    <cfRule type="containsText" dxfId="675" priority="123" operator="containsText" text="Region 9">
      <formula>NOT(ISERROR(SEARCH("Region 9",B2)))</formula>
    </cfRule>
    <cfRule type="containsText" dxfId="674" priority="124" operator="containsText" text="ETM">
      <formula>NOT(ISERROR(SEARCH("ETM",B2)))</formula>
    </cfRule>
    <cfRule type="containsText" dxfId="673" priority="125" operator="containsText" text="Outfall">
      <formula>NOT(ISERROR(SEARCH("Outfall",B2)))</formula>
    </cfRule>
    <cfRule type="containsText" dxfId="672" priority="126" operator="containsText" text="Petroleum">
      <formula>NOT(ISERROR(SEARCH("Petroleum",B2)))</formula>
    </cfRule>
    <cfRule type="containsText" dxfId="671" priority="127" operator="containsText" text="Laboratory">
      <formula>NOT(ISERROR(SEARCH("Laboratory",B2)))</formula>
    </cfRule>
    <cfRule type="containsText" dxfId="670" priority="128" operator="containsText" text="Odor Control">
      <formula>NOT(ISERROR(SEARCH("Odor Control",B2)))</formula>
    </cfRule>
    <cfRule type="containsText" dxfId="669" priority="129" operator="containsText" text="Ferric">
      <formula>NOT(ISERROR(SEARCH("Ferric",B2)))</formula>
    </cfRule>
    <cfRule type="containsText" dxfId="668" priority="130" operator="containsText" text="Chlorine">
      <formula>NOT(ISERROR(SEARCH("Chlorine",B2)))</formula>
    </cfRule>
    <cfRule type="containsText" dxfId="667" priority="131" operator="containsText" text="Potable">
      <formula>NOT(ISERROR(SEARCH("Potable",B2)))</formula>
    </cfRule>
    <cfRule type="containsText" dxfId="666" priority="132" operator="containsText" text="Natural Gas">
      <formula>NOT(ISERROR(SEARCH("Natural Gas",B2)))</formula>
    </cfRule>
    <cfRule type="containsText" dxfId="665" priority="133" operator="containsText" text="Electricity">
      <formula>NOT(ISERROR(SEARCH("Electricity",B2)))</formula>
    </cfRule>
    <cfRule type="containsText" dxfId="664" priority="134" operator="containsText" text="Single Area">
      <formula>NOT(ISERROR(SEARCH("Single Area",B2)))</formula>
    </cfRule>
    <cfRule type="containsText" dxfId="663" priority="135" operator="containsText" text="Actual Use">
      <formula>NOT(ISERROR(SEARCH("Actual Use",B2)))</formula>
    </cfRule>
    <cfRule type="containsText" dxfId="662" priority="136" operator="containsText" text="Labor -">
      <formula>NOT(ISERROR(SEARCH("Labor -",B2)))</formula>
    </cfRule>
  </conditionalFormatting>
  <conditionalFormatting sqref="N3:N25">
    <cfRule type="containsText" dxfId="661" priority="92" operator="containsText" text="Insurance">
      <formula>NOT(ISERROR(SEARCH("Insurance",N3)))</formula>
    </cfRule>
    <cfRule type="containsText" dxfId="660" priority="93" operator="containsText" text="Region 9">
      <formula>NOT(ISERROR(SEARCH("Region 9",N3)))</formula>
    </cfRule>
    <cfRule type="containsText" dxfId="659" priority="94" operator="containsText" text="ETM">
      <formula>NOT(ISERROR(SEARCH("ETM",N3)))</formula>
    </cfRule>
    <cfRule type="containsText" dxfId="658" priority="95" operator="containsText" text="Outfall">
      <formula>NOT(ISERROR(SEARCH("Outfall",N3)))</formula>
    </cfRule>
    <cfRule type="containsText" dxfId="657" priority="96" operator="containsText" text="Petroleum">
      <formula>NOT(ISERROR(SEARCH("Petroleum",N3)))</formula>
    </cfRule>
    <cfRule type="containsText" dxfId="656" priority="97" operator="containsText" text="Laboratory">
      <formula>NOT(ISERROR(SEARCH("Laboratory",N3)))</formula>
    </cfRule>
    <cfRule type="containsText" dxfId="655" priority="98" operator="containsText" text="Odor Control">
      <formula>NOT(ISERROR(SEARCH("Odor Control",N3)))</formula>
    </cfRule>
    <cfRule type="containsText" dxfId="654" priority="99" operator="containsText" text="Ferric">
      <formula>NOT(ISERROR(SEARCH("Ferric",N3)))</formula>
    </cfRule>
    <cfRule type="containsText" dxfId="653" priority="100" operator="containsText" text="Chlorine">
      <formula>NOT(ISERROR(SEARCH("Chlorine",N3)))</formula>
    </cfRule>
    <cfRule type="containsText" dxfId="652" priority="101" operator="containsText" text="Potable">
      <formula>NOT(ISERROR(SEARCH("Potable",N3)))</formula>
    </cfRule>
    <cfRule type="containsText" dxfId="651" priority="102" operator="containsText" text="Natural Gas">
      <formula>NOT(ISERROR(SEARCH("Natural Gas",N3)))</formula>
    </cfRule>
    <cfRule type="containsText" dxfId="650" priority="103" operator="containsText" text="Electricity">
      <formula>NOT(ISERROR(SEARCH("Electricity",N3)))</formula>
    </cfRule>
    <cfRule type="containsText" dxfId="649" priority="104" operator="containsText" text="Single Area">
      <formula>NOT(ISERROR(SEARCH("Single Area",N3)))</formula>
    </cfRule>
    <cfRule type="containsText" dxfId="648" priority="105" operator="containsText" text="Actual Use">
      <formula>NOT(ISERROR(SEARCH("Actual Use",N3)))</formula>
    </cfRule>
    <cfRule type="containsText" dxfId="647" priority="106" operator="containsText" text="Labor -">
      <formula>NOT(ISERROR(SEARCH("Labor -",N3)))</formula>
    </cfRule>
  </conditionalFormatting>
  <conditionalFormatting sqref="C30:L51">
    <cfRule type="cellIs" dxfId="646" priority="137" operator="greaterThan">
      <formula>0</formula>
    </cfRule>
    <cfRule type="cellIs" dxfId="645" priority="138" operator="lessThan">
      <formula>0</formula>
    </cfRule>
  </conditionalFormatting>
  <conditionalFormatting sqref="B29">
    <cfRule type="containsText" dxfId="644" priority="31" operator="containsText" text="Insurance">
      <formula>NOT(ISERROR(SEARCH("Insurance",B29)))</formula>
    </cfRule>
    <cfRule type="containsText" dxfId="643" priority="32" operator="containsText" text="Region 9">
      <formula>NOT(ISERROR(SEARCH("Region 9",B29)))</formula>
    </cfRule>
    <cfRule type="containsText" dxfId="642" priority="33" operator="containsText" text="ETM">
      <formula>NOT(ISERROR(SEARCH("ETM",B29)))</formula>
    </cfRule>
    <cfRule type="containsText" dxfId="641" priority="34" operator="containsText" text="Outfall">
      <formula>NOT(ISERROR(SEARCH("Outfall",B29)))</formula>
    </cfRule>
    <cfRule type="containsText" dxfId="640" priority="35" operator="containsText" text="Petroleum">
      <formula>NOT(ISERROR(SEARCH("Petroleum",B29)))</formula>
    </cfRule>
    <cfRule type="containsText" dxfId="639" priority="36" operator="containsText" text="Laboratory">
      <formula>NOT(ISERROR(SEARCH("Laboratory",B29)))</formula>
    </cfRule>
    <cfRule type="containsText" dxfId="638" priority="37" operator="containsText" text="Odor Control">
      <formula>NOT(ISERROR(SEARCH("Odor Control",B29)))</formula>
    </cfRule>
    <cfRule type="containsText" dxfId="637" priority="38" operator="containsText" text="Ferric">
      <formula>NOT(ISERROR(SEARCH("Ferric",B29)))</formula>
    </cfRule>
    <cfRule type="containsText" dxfId="636" priority="39" operator="containsText" text="Chlorine">
      <formula>NOT(ISERROR(SEARCH("Chlorine",B29)))</formula>
    </cfRule>
    <cfRule type="containsText" dxfId="635" priority="40" operator="containsText" text="Potable">
      <formula>NOT(ISERROR(SEARCH("Potable",B29)))</formula>
    </cfRule>
    <cfRule type="containsText" dxfId="634" priority="41" operator="containsText" text="Natural Gas">
      <formula>NOT(ISERROR(SEARCH("Natural Gas",B29)))</formula>
    </cfRule>
    <cfRule type="containsText" dxfId="633" priority="42" operator="containsText" text="Electricity">
      <formula>NOT(ISERROR(SEARCH("Electricity",B29)))</formula>
    </cfRule>
    <cfRule type="containsText" dxfId="632" priority="43" operator="containsText" text="Single Area">
      <formula>NOT(ISERROR(SEARCH("Single Area",B29)))</formula>
    </cfRule>
    <cfRule type="containsText" dxfId="631" priority="44" operator="containsText" text="Actual Use">
      <formula>NOT(ISERROR(SEARCH("Actual Use",B29)))</formula>
    </cfRule>
    <cfRule type="containsText" dxfId="630" priority="45" operator="containsText" text="Labor -">
      <formula>NOT(ISERROR(SEARCH("Labor -",B29)))</formula>
    </cfRule>
  </conditionalFormatting>
  <conditionalFormatting sqref="N2">
    <cfRule type="containsText" dxfId="629" priority="16" operator="containsText" text="Insurance">
      <formula>NOT(ISERROR(SEARCH("Insurance",N2)))</formula>
    </cfRule>
    <cfRule type="containsText" dxfId="628" priority="17" operator="containsText" text="Region 9">
      <formula>NOT(ISERROR(SEARCH("Region 9",N2)))</formula>
    </cfRule>
    <cfRule type="containsText" dxfId="627" priority="18" operator="containsText" text="ETM">
      <formula>NOT(ISERROR(SEARCH("ETM",N2)))</formula>
    </cfRule>
    <cfRule type="containsText" dxfId="626" priority="19" operator="containsText" text="Outfall">
      <formula>NOT(ISERROR(SEARCH("Outfall",N2)))</formula>
    </cfRule>
    <cfRule type="containsText" dxfId="625" priority="20" operator="containsText" text="Petroleum">
      <formula>NOT(ISERROR(SEARCH("Petroleum",N2)))</formula>
    </cfRule>
    <cfRule type="containsText" dxfId="624" priority="21" operator="containsText" text="Laboratory">
      <formula>NOT(ISERROR(SEARCH("Laboratory",N2)))</formula>
    </cfRule>
    <cfRule type="containsText" dxfId="623" priority="22" operator="containsText" text="Odor Control">
      <formula>NOT(ISERROR(SEARCH("Odor Control",N2)))</formula>
    </cfRule>
    <cfRule type="containsText" dxfId="622" priority="23" operator="containsText" text="Ferric">
      <formula>NOT(ISERROR(SEARCH("Ferric",N2)))</formula>
    </cfRule>
    <cfRule type="containsText" dxfId="621" priority="24" operator="containsText" text="Chlorine">
      <formula>NOT(ISERROR(SEARCH("Chlorine",N2)))</formula>
    </cfRule>
    <cfRule type="containsText" dxfId="620" priority="25" operator="containsText" text="Potable">
      <formula>NOT(ISERROR(SEARCH("Potable",N2)))</formula>
    </cfRule>
    <cfRule type="containsText" dxfId="619" priority="26" operator="containsText" text="Natural Gas">
      <formula>NOT(ISERROR(SEARCH("Natural Gas",N2)))</formula>
    </cfRule>
    <cfRule type="containsText" dxfId="618" priority="27" operator="containsText" text="Electricity">
      <formula>NOT(ISERROR(SEARCH("Electricity",N2)))</formula>
    </cfRule>
    <cfRule type="containsText" dxfId="617" priority="28" operator="containsText" text="Single Area">
      <formula>NOT(ISERROR(SEARCH("Single Area",N2)))</formula>
    </cfRule>
    <cfRule type="containsText" dxfId="616" priority="29" operator="containsText" text="Actual Use">
      <formula>NOT(ISERROR(SEARCH("Actual Use",N2)))</formula>
    </cfRule>
    <cfRule type="containsText" dxfId="615" priority="30" operator="containsText" text="Labor -">
      <formula>NOT(ISERROR(SEARCH("Labor -",N2)))</formula>
    </cfRule>
  </conditionalFormatting>
  <conditionalFormatting sqref="B26">
    <cfRule type="containsText" dxfId="614" priority="1" operator="containsText" text="Insurance">
      <formula>NOT(ISERROR(SEARCH("Insurance",B26)))</formula>
    </cfRule>
    <cfRule type="containsText" dxfId="613" priority="2" operator="containsText" text="Region 9">
      <formula>NOT(ISERROR(SEARCH("Region 9",B26)))</formula>
    </cfRule>
    <cfRule type="containsText" dxfId="612" priority="3" operator="containsText" text="ETM">
      <formula>NOT(ISERROR(SEARCH("ETM",B26)))</formula>
    </cfRule>
    <cfRule type="containsText" dxfId="611" priority="4" operator="containsText" text="Outfall">
      <formula>NOT(ISERROR(SEARCH("Outfall",B26)))</formula>
    </cfRule>
    <cfRule type="containsText" dxfId="610" priority="5" operator="containsText" text="Petroleum">
      <formula>NOT(ISERROR(SEARCH("Petroleum",B26)))</formula>
    </cfRule>
    <cfRule type="containsText" dxfId="609" priority="6" operator="containsText" text="Laboratory">
      <formula>NOT(ISERROR(SEARCH("Laboratory",B26)))</formula>
    </cfRule>
    <cfRule type="containsText" dxfId="608" priority="7" operator="containsText" text="Odor Control">
      <formula>NOT(ISERROR(SEARCH("Odor Control",B26)))</formula>
    </cfRule>
    <cfRule type="containsText" dxfId="607" priority="8" operator="containsText" text="Ferric">
      <formula>NOT(ISERROR(SEARCH("Ferric",B26)))</formula>
    </cfRule>
    <cfRule type="containsText" dxfId="606" priority="9" operator="containsText" text="Chlorine">
      <formula>NOT(ISERROR(SEARCH("Chlorine",B26)))</formula>
    </cfRule>
    <cfRule type="containsText" dxfId="605" priority="10" operator="containsText" text="Potable">
      <formula>NOT(ISERROR(SEARCH("Potable",B26)))</formula>
    </cfRule>
    <cfRule type="containsText" dxfId="604" priority="11" operator="containsText" text="Natural Gas">
      <formula>NOT(ISERROR(SEARCH("Natural Gas",B26)))</formula>
    </cfRule>
    <cfRule type="containsText" dxfId="603" priority="12" operator="containsText" text="Electricity">
      <formula>NOT(ISERROR(SEARCH("Electricity",B26)))</formula>
    </cfRule>
    <cfRule type="containsText" dxfId="602" priority="13" operator="containsText" text="Single Area">
      <formula>NOT(ISERROR(SEARCH("Single Area",B26)))</formula>
    </cfRule>
    <cfRule type="containsText" dxfId="601" priority="14" operator="containsText" text="Actual Use">
      <formula>NOT(ISERROR(SEARCH("Actual Use",B26)))</formula>
    </cfRule>
    <cfRule type="containsText" dxfId="600" priority="15" operator="containsText" text="Labor -">
      <formula>NOT(ISERROR(SEARCH("Labor -",B26)))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25"/>
  <sheetViews>
    <sheetView workbookViewId="0">
      <selection activeCell="B11" sqref="B11"/>
    </sheetView>
  </sheetViews>
  <sheetFormatPr defaultRowHeight="15" x14ac:dyDescent="0.25"/>
  <cols>
    <col min="2" max="2" width="28.5703125" bestFit="1" customWidth="1"/>
    <col min="3" max="3" width="44.42578125" customWidth="1"/>
  </cols>
  <sheetData>
    <row r="1" spans="2:3" s="412" customFormat="1" x14ac:dyDescent="0.25">
      <c r="B1" s="412" t="s">
        <v>659</v>
      </c>
      <c r="C1" s="412" t="s">
        <v>660</v>
      </c>
    </row>
    <row r="2" spans="2:3" x14ac:dyDescent="0.25">
      <c r="B2" s="206" t="s">
        <v>564</v>
      </c>
      <c r="C2" t="s">
        <v>679</v>
      </c>
    </row>
    <row r="3" spans="2:3" x14ac:dyDescent="0.25">
      <c r="B3" s="207" t="s">
        <v>572</v>
      </c>
      <c r="C3" t="s">
        <v>676</v>
      </c>
    </row>
    <row r="4" spans="2:3" x14ac:dyDescent="0.25">
      <c r="B4" s="207" t="s">
        <v>566</v>
      </c>
      <c r="C4" t="s">
        <v>677</v>
      </c>
    </row>
    <row r="5" spans="2:3" x14ac:dyDescent="0.25">
      <c r="B5" s="207" t="s">
        <v>31</v>
      </c>
      <c r="C5" t="s">
        <v>678</v>
      </c>
    </row>
    <row r="7" spans="2:3" x14ac:dyDescent="0.25">
      <c r="B7" s="208" t="s">
        <v>705</v>
      </c>
      <c r="C7" t="s">
        <v>673</v>
      </c>
    </row>
    <row r="8" spans="2:3" x14ac:dyDescent="0.25">
      <c r="B8" s="208" t="s">
        <v>4</v>
      </c>
      <c r="C8" t="s">
        <v>661</v>
      </c>
    </row>
    <row r="9" spans="2:3" x14ac:dyDescent="0.25">
      <c r="B9" s="208" t="s">
        <v>3</v>
      </c>
      <c r="C9" t="s">
        <v>662</v>
      </c>
    </row>
    <row r="10" spans="2:3" x14ac:dyDescent="0.25">
      <c r="B10" s="208" t="s">
        <v>32</v>
      </c>
      <c r="C10" t="s">
        <v>663</v>
      </c>
    </row>
    <row r="12" spans="2:3" x14ac:dyDescent="0.25">
      <c r="B12" s="210" t="s">
        <v>541</v>
      </c>
      <c r="C12" t="s">
        <v>674</v>
      </c>
    </row>
    <row r="13" spans="2:3" x14ac:dyDescent="0.25">
      <c r="B13" s="210" t="s">
        <v>542</v>
      </c>
      <c r="C13" t="s">
        <v>675</v>
      </c>
    </row>
    <row r="14" spans="2:3" x14ac:dyDescent="0.25">
      <c r="B14" s="210" t="s">
        <v>537</v>
      </c>
      <c r="C14" t="s">
        <v>658</v>
      </c>
    </row>
    <row r="16" spans="2:3" x14ac:dyDescent="0.25">
      <c r="B16" s="209" t="s">
        <v>11</v>
      </c>
      <c r="C16" t="s">
        <v>672</v>
      </c>
    </row>
    <row r="17" spans="2:3" x14ac:dyDescent="0.25">
      <c r="B17" s="209" t="s">
        <v>12</v>
      </c>
      <c r="C17" t="s">
        <v>671</v>
      </c>
    </row>
    <row r="18" spans="2:3" x14ac:dyDescent="0.25">
      <c r="B18" s="209" t="s">
        <v>13</v>
      </c>
      <c r="C18" t="s">
        <v>664</v>
      </c>
    </row>
    <row r="19" spans="2:3" x14ac:dyDescent="0.25">
      <c r="B19" s="209" t="s">
        <v>14</v>
      </c>
      <c r="C19" t="s">
        <v>669</v>
      </c>
    </row>
    <row r="20" spans="2:3" x14ac:dyDescent="0.25">
      <c r="B20" s="209" t="s">
        <v>15</v>
      </c>
      <c r="C20" t="s">
        <v>668</v>
      </c>
    </row>
    <row r="21" spans="2:3" x14ac:dyDescent="0.25">
      <c r="B21" s="209" t="s">
        <v>16</v>
      </c>
      <c r="C21" t="s">
        <v>667</v>
      </c>
    </row>
    <row r="22" spans="2:3" x14ac:dyDescent="0.25">
      <c r="B22" s="209" t="s">
        <v>17</v>
      </c>
      <c r="C22" t="s">
        <v>665</v>
      </c>
    </row>
    <row r="23" spans="2:3" x14ac:dyDescent="0.25">
      <c r="B23" s="209" t="s">
        <v>22</v>
      </c>
      <c r="C23" t="s">
        <v>672</v>
      </c>
    </row>
    <row r="24" spans="2:3" x14ac:dyDescent="0.25">
      <c r="B24" s="211" t="s">
        <v>529</v>
      </c>
      <c r="C24" t="s">
        <v>666</v>
      </c>
    </row>
    <row r="25" spans="2:3" x14ac:dyDescent="0.25">
      <c r="B25" s="212" t="s">
        <v>263</v>
      </c>
      <c r="C25" t="s">
        <v>670</v>
      </c>
    </row>
  </sheetData>
  <conditionalFormatting sqref="B2:B25">
    <cfRule type="containsText" dxfId="599" priority="1" operator="containsText" text="Insurance">
      <formula>NOT(ISERROR(SEARCH("Insurance",B2)))</formula>
    </cfRule>
    <cfRule type="containsText" dxfId="598" priority="2" operator="containsText" text="Region 9">
      <formula>NOT(ISERROR(SEARCH("Region 9",B2)))</formula>
    </cfRule>
    <cfRule type="containsText" dxfId="597" priority="3" operator="containsText" text="ETM">
      <formula>NOT(ISERROR(SEARCH("ETM",B2)))</formula>
    </cfRule>
    <cfRule type="containsText" dxfId="596" priority="4" operator="containsText" text="Outfall">
      <formula>NOT(ISERROR(SEARCH("Outfall",B2)))</formula>
    </cfRule>
    <cfRule type="containsText" dxfId="595" priority="5" operator="containsText" text="Petroleum">
      <formula>NOT(ISERROR(SEARCH("Petroleum",B2)))</formula>
    </cfRule>
    <cfRule type="containsText" dxfId="594" priority="6" operator="containsText" text="Laboratory">
      <formula>NOT(ISERROR(SEARCH("Laboratory",B2)))</formula>
    </cfRule>
    <cfRule type="containsText" dxfId="593" priority="7" operator="containsText" text="Odor Control">
      <formula>NOT(ISERROR(SEARCH("Odor Control",B2)))</formula>
    </cfRule>
    <cfRule type="containsText" dxfId="592" priority="8" operator="containsText" text="Ferric">
      <formula>NOT(ISERROR(SEARCH("Ferric",B2)))</formula>
    </cfRule>
    <cfRule type="containsText" dxfId="591" priority="9" operator="containsText" text="Chlorine">
      <formula>NOT(ISERROR(SEARCH("Chlorine",B2)))</formula>
    </cfRule>
    <cfRule type="containsText" dxfId="590" priority="10" operator="containsText" text="Potable">
      <formula>NOT(ISERROR(SEARCH("Potable",B2)))</formula>
    </cfRule>
    <cfRule type="containsText" dxfId="589" priority="11" operator="containsText" text="Natural Gas">
      <formula>NOT(ISERROR(SEARCH("Natural Gas",B2)))</formula>
    </cfRule>
    <cfRule type="containsText" dxfId="588" priority="12" operator="containsText" text="Electricity">
      <formula>NOT(ISERROR(SEARCH("Electricity",B2)))</formula>
    </cfRule>
    <cfRule type="containsText" dxfId="587" priority="13" operator="containsText" text="Single Area">
      <formula>NOT(ISERROR(SEARCH("Single Area",B2)))</formula>
    </cfRule>
    <cfRule type="containsText" dxfId="586" priority="14" operator="containsText" text="Actual Use">
      <formula>NOT(ISERROR(SEARCH("Actual Use",B2)))</formula>
    </cfRule>
    <cfRule type="containsText" dxfId="585" priority="15" operator="containsText" text="Labor -">
      <formula>NOT(ISERROR(SEARCH("Labor -",B2)))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80"/>
  <sheetViews>
    <sheetView zoomScale="75" zoomScaleNormal="75" workbookViewId="0">
      <pane xSplit="2" ySplit="3" topLeftCell="C20" activePane="bottomRight" state="frozen"/>
      <selection activeCell="B11" sqref="B11"/>
      <selection pane="topRight" activeCell="B11" sqref="B11"/>
      <selection pane="bottomLeft" activeCell="B11" sqref="B11"/>
      <selection pane="bottomRight" activeCell="T50" sqref="T50"/>
    </sheetView>
  </sheetViews>
  <sheetFormatPr defaultRowHeight="15" x14ac:dyDescent="0.25"/>
  <cols>
    <col min="1" max="1" width="21.28515625" bestFit="1" customWidth="1"/>
    <col min="2" max="2" width="43.85546875" bestFit="1" customWidth="1"/>
    <col min="3" max="3" width="6.5703125" customWidth="1"/>
    <col min="4" max="4" width="31.28515625" style="3" bestFit="1" customWidth="1"/>
    <col min="5" max="5" width="3.140625" style="3" bestFit="1" customWidth="1"/>
    <col min="6" max="6" width="31.28515625" style="3" bestFit="1" customWidth="1"/>
    <col min="7" max="7" width="6.5703125" customWidth="1"/>
    <col min="8" max="8" width="31.28515625" style="3" bestFit="1" customWidth="1"/>
    <col min="9" max="9" width="3.140625" style="3" bestFit="1" customWidth="1"/>
    <col min="10" max="10" width="31.28515625" style="3" bestFit="1" customWidth="1"/>
    <col min="11" max="11" width="6.5703125" customWidth="1"/>
    <col min="12" max="12" width="31.28515625" style="3" bestFit="1" customWidth="1"/>
    <col min="13" max="13" width="3.140625" style="3" bestFit="1" customWidth="1"/>
    <col min="14" max="14" width="31.28515625" style="3" bestFit="1" customWidth="1"/>
    <col min="15" max="15" width="6.5703125" customWidth="1"/>
    <col min="16" max="16" width="31.28515625" style="3" bestFit="1" customWidth="1"/>
    <col min="17" max="17" width="3.140625" style="3" bestFit="1" customWidth="1"/>
    <col min="18" max="18" width="31.28515625" style="3" bestFit="1" customWidth="1"/>
    <col min="19" max="19" width="6.5703125" customWidth="1"/>
    <col min="20" max="20" width="23.85546875" style="120" customWidth="1"/>
    <col min="21" max="21" width="3" bestFit="1" customWidth="1"/>
    <col min="22" max="22" width="23.85546875" style="3" customWidth="1"/>
    <col min="23" max="23" width="2.7109375" customWidth="1"/>
    <col min="24" max="24" width="3" style="120" bestFit="1" customWidth="1"/>
    <col min="25" max="25" width="24.140625" style="3" customWidth="1"/>
    <col min="26" max="26" width="2.7109375" customWidth="1"/>
    <col min="27" max="27" width="25.5703125" style="3" bestFit="1" customWidth="1"/>
  </cols>
  <sheetData>
    <row r="1" spans="1:27" ht="9" customHeight="1" x14ac:dyDescent="0.25">
      <c r="C1" s="301"/>
      <c r="D1" s="415"/>
      <c r="E1" s="415"/>
      <c r="F1" s="415"/>
      <c r="G1" s="301"/>
      <c r="H1" s="415"/>
      <c r="I1" s="415"/>
      <c r="J1" s="415"/>
      <c r="K1" s="301"/>
      <c r="L1" s="415"/>
      <c r="M1" s="415"/>
      <c r="N1" s="415"/>
      <c r="O1" s="301"/>
      <c r="P1" s="415"/>
      <c r="Q1" s="415"/>
      <c r="R1" s="415"/>
      <c r="S1" s="301"/>
      <c r="T1" s="415"/>
      <c r="U1" s="301"/>
      <c r="V1" s="415"/>
      <c r="W1" s="301"/>
      <c r="X1"/>
      <c r="Y1"/>
      <c r="AA1"/>
    </row>
    <row r="2" spans="1:27" ht="21" x14ac:dyDescent="0.35">
      <c r="C2" s="301"/>
      <c r="D2" s="767" t="s">
        <v>33</v>
      </c>
      <c r="E2" s="767"/>
      <c r="F2" s="767"/>
      <c r="G2" s="416"/>
      <c r="H2" s="767" t="s">
        <v>251</v>
      </c>
      <c r="I2" s="767"/>
      <c r="J2" s="767"/>
      <c r="K2" s="416"/>
      <c r="L2" s="767" t="s">
        <v>253</v>
      </c>
      <c r="M2" s="767"/>
      <c r="N2" s="767"/>
      <c r="O2" s="416"/>
      <c r="P2" s="767" t="s">
        <v>254</v>
      </c>
      <c r="Q2" s="767"/>
      <c r="R2" s="767"/>
      <c r="S2" s="416"/>
      <c r="T2" s="794" t="s">
        <v>657</v>
      </c>
      <c r="U2" s="794"/>
      <c r="V2" s="794"/>
      <c r="W2" s="417"/>
      <c r="X2"/>
      <c r="Y2"/>
      <c r="AA2"/>
    </row>
    <row r="3" spans="1:27" s="12" customFormat="1" x14ac:dyDescent="0.25">
      <c r="A3" s="12" t="s">
        <v>41</v>
      </c>
      <c r="B3" s="12" t="s">
        <v>42</v>
      </c>
      <c r="C3" s="302"/>
      <c r="D3" s="418" t="s">
        <v>561</v>
      </c>
      <c r="E3" s="418"/>
      <c r="F3" s="418" t="s">
        <v>562</v>
      </c>
      <c r="G3" s="301"/>
      <c r="H3" s="418" t="s">
        <v>561</v>
      </c>
      <c r="I3" s="418"/>
      <c r="J3" s="418" t="s">
        <v>562</v>
      </c>
      <c r="K3" s="301"/>
      <c r="L3" s="418" t="s">
        <v>561</v>
      </c>
      <c r="M3" s="418"/>
      <c r="N3" s="418" t="s">
        <v>562</v>
      </c>
      <c r="O3" s="301"/>
      <c r="P3" s="418" t="s">
        <v>561</v>
      </c>
      <c r="Q3" s="418"/>
      <c r="R3" s="418" t="s">
        <v>562</v>
      </c>
      <c r="S3" s="301"/>
      <c r="T3" s="180" t="s">
        <v>561</v>
      </c>
      <c r="U3"/>
      <c r="V3" s="418" t="s">
        <v>562</v>
      </c>
      <c r="W3" s="301"/>
    </row>
    <row r="4" spans="1:27" x14ac:dyDescent="0.25">
      <c r="A4" t="s">
        <v>563</v>
      </c>
      <c r="B4" t="s">
        <v>49</v>
      </c>
      <c r="C4" s="301"/>
      <c r="D4" s="419" t="s">
        <v>564</v>
      </c>
      <c r="E4" s="3" t="str">
        <f>IF(D4=F4," ","→")</f>
        <v xml:space="preserve"> </v>
      </c>
      <c r="F4" s="419" t="s">
        <v>564</v>
      </c>
      <c r="G4" s="301"/>
      <c r="H4" s="419" t="s">
        <v>564</v>
      </c>
      <c r="I4" s="3" t="str">
        <f>IF(H4=J4," ","→")</f>
        <v xml:space="preserve"> </v>
      </c>
      <c r="J4" s="419" t="s">
        <v>564</v>
      </c>
      <c r="K4" s="301"/>
      <c r="L4" s="419" t="s">
        <v>564</v>
      </c>
      <c r="M4" s="3" t="str">
        <f>IF(L4=N4," ","→")</f>
        <v xml:space="preserve"> </v>
      </c>
      <c r="N4" s="419" t="s">
        <v>564</v>
      </c>
      <c r="O4" s="301"/>
      <c r="P4" s="419" t="s">
        <v>564</v>
      </c>
      <c r="Q4" s="3" t="str">
        <f>IF(P4=R4," ","→")</f>
        <v xml:space="preserve"> </v>
      </c>
      <c r="R4" s="419" t="s">
        <v>564</v>
      </c>
      <c r="S4" s="301"/>
      <c r="T4" s="420" t="s">
        <v>542</v>
      </c>
      <c r="U4" s="3" t="str">
        <f>IF(T4=V4," ","→")</f>
        <v>→</v>
      </c>
      <c r="V4" s="206" t="s">
        <v>541</v>
      </c>
      <c r="W4" s="301"/>
      <c r="X4"/>
      <c r="Y4"/>
      <c r="AA4"/>
    </row>
    <row r="5" spans="1:27" x14ac:dyDescent="0.25">
      <c r="A5" t="s">
        <v>565</v>
      </c>
      <c r="B5" t="s">
        <v>51</v>
      </c>
      <c r="C5" s="301"/>
      <c r="D5" s="419" t="s">
        <v>566</v>
      </c>
      <c r="E5" s="3" t="str">
        <f t="shared" ref="E5:E68" si="0">IF(D5=F5," ","→")</f>
        <v xml:space="preserve"> </v>
      </c>
      <c r="F5" s="419" t="s">
        <v>566</v>
      </c>
      <c r="G5" s="301"/>
      <c r="H5" s="419" t="s">
        <v>566</v>
      </c>
      <c r="I5" s="3" t="str">
        <f t="shared" ref="I5:I68" si="1">IF(H5=J5," ","→")</f>
        <v xml:space="preserve"> </v>
      </c>
      <c r="J5" s="419" t="s">
        <v>566</v>
      </c>
      <c r="K5" s="301"/>
      <c r="L5" s="419" t="s">
        <v>566</v>
      </c>
      <c r="M5" s="3" t="str">
        <f t="shared" ref="M5:M68" si="2">IF(L5=N5," ","→")</f>
        <v xml:space="preserve"> </v>
      </c>
      <c r="N5" s="419" t="s">
        <v>566</v>
      </c>
      <c r="O5" s="301"/>
      <c r="P5" s="419" t="s">
        <v>566</v>
      </c>
      <c r="Q5" s="3" t="str">
        <f t="shared" ref="Q5:Q68" si="3">IF(P5=R5," ","→")</f>
        <v xml:space="preserve"> </v>
      </c>
      <c r="R5" s="419" t="s">
        <v>566</v>
      </c>
      <c r="S5" s="301"/>
      <c r="T5" s="420" t="s">
        <v>542</v>
      </c>
      <c r="U5" s="3" t="str">
        <f t="shared" ref="U5:U68" si="4">IF(T5=V5," ","→")</f>
        <v>→</v>
      </c>
      <c r="V5" s="206" t="s">
        <v>541</v>
      </c>
      <c r="W5" s="301"/>
      <c r="X5"/>
      <c r="Y5"/>
      <c r="AA5"/>
    </row>
    <row r="6" spans="1:27" x14ac:dyDescent="0.25">
      <c r="A6" t="s">
        <v>567</v>
      </c>
      <c r="B6" t="s">
        <v>53</v>
      </c>
      <c r="C6" s="301"/>
      <c r="D6" s="419" t="s">
        <v>564</v>
      </c>
      <c r="E6" s="3" t="str">
        <f t="shared" si="0"/>
        <v xml:space="preserve"> </v>
      </c>
      <c r="F6" s="419" t="s">
        <v>564</v>
      </c>
      <c r="G6" s="301"/>
      <c r="H6" s="419" t="s">
        <v>564</v>
      </c>
      <c r="I6" s="3" t="str">
        <f t="shared" si="1"/>
        <v xml:space="preserve"> </v>
      </c>
      <c r="J6" s="419" t="s">
        <v>564</v>
      </c>
      <c r="K6" s="301"/>
      <c r="L6" s="419" t="s">
        <v>564</v>
      </c>
      <c r="M6" s="3" t="str">
        <f t="shared" si="2"/>
        <v xml:space="preserve"> </v>
      </c>
      <c r="N6" s="419" t="s">
        <v>564</v>
      </c>
      <c r="O6" s="301"/>
      <c r="P6" s="419" t="s">
        <v>564</v>
      </c>
      <c r="Q6" s="3" t="str">
        <f t="shared" si="3"/>
        <v xml:space="preserve"> </v>
      </c>
      <c r="R6" s="419" t="s">
        <v>564</v>
      </c>
      <c r="S6" s="301"/>
      <c r="T6" s="420" t="s">
        <v>542</v>
      </c>
      <c r="U6" s="3" t="str">
        <f t="shared" si="4"/>
        <v>→</v>
      </c>
      <c r="V6" s="206" t="s">
        <v>541</v>
      </c>
      <c r="W6" s="301"/>
      <c r="X6"/>
      <c r="Y6"/>
      <c r="AA6"/>
    </row>
    <row r="7" spans="1:27" x14ac:dyDescent="0.25">
      <c r="A7" t="s">
        <v>568</v>
      </c>
      <c r="B7" t="s">
        <v>55</v>
      </c>
      <c r="C7" s="301"/>
      <c r="D7" s="419" t="s">
        <v>564</v>
      </c>
      <c r="E7" s="3" t="str">
        <f t="shared" si="0"/>
        <v xml:space="preserve"> </v>
      </c>
      <c r="F7" s="419" t="s">
        <v>564</v>
      </c>
      <c r="G7" s="301"/>
      <c r="H7" s="419" t="s">
        <v>564</v>
      </c>
      <c r="I7" s="3" t="str">
        <f t="shared" si="1"/>
        <v xml:space="preserve"> </v>
      </c>
      <c r="J7" s="419" t="s">
        <v>564</v>
      </c>
      <c r="K7" s="301"/>
      <c r="L7" s="419" t="s">
        <v>564</v>
      </c>
      <c r="M7" s="3" t="str">
        <f t="shared" si="2"/>
        <v xml:space="preserve"> </v>
      </c>
      <c r="N7" s="419" t="s">
        <v>564</v>
      </c>
      <c r="O7" s="301"/>
      <c r="P7" s="419" t="s">
        <v>564</v>
      </c>
      <c r="Q7" s="3" t="str">
        <f t="shared" si="3"/>
        <v xml:space="preserve"> </v>
      </c>
      <c r="R7" s="419" t="s">
        <v>564</v>
      </c>
      <c r="S7" s="301"/>
      <c r="T7" s="420" t="s">
        <v>542</v>
      </c>
      <c r="U7" s="3" t="str">
        <f t="shared" si="4"/>
        <v>→</v>
      </c>
      <c r="V7" s="206" t="s">
        <v>541</v>
      </c>
      <c r="W7" s="301"/>
      <c r="X7"/>
      <c r="Y7"/>
      <c r="AA7"/>
    </row>
    <row r="8" spans="1:27" x14ac:dyDescent="0.25">
      <c r="A8" t="s">
        <v>569</v>
      </c>
      <c r="B8" t="s">
        <v>57</v>
      </c>
      <c r="C8" s="301"/>
      <c r="D8" s="419" t="s">
        <v>564</v>
      </c>
      <c r="E8" s="3" t="str">
        <f t="shared" si="0"/>
        <v xml:space="preserve"> </v>
      </c>
      <c r="F8" s="419" t="s">
        <v>564</v>
      </c>
      <c r="G8" s="301"/>
      <c r="H8" s="419" t="s">
        <v>564</v>
      </c>
      <c r="I8" s="3" t="str">
        <f t="shared" si="1"/>
        <v xml:space="preserve"> </v>
      </c>
      <c r="J8" s="419" t="s">
        <v>564</v>
      </c>
      <c r="K8" s="301"/>
      <c r="L8" s="419" t="s">
        <v>564</v>
      </c>
      <c r="M8" s="3" t="str">
        <f t="shared" si="2"/>
        <v xml:space="preserve"> </v>
      </c>
      <c r="N8" s="419" t="s">
        <v>564</v>
      </c>
      <c r="O8" s="301"/>
      <c r="P8" s="419" t="s">
        <v>564</v>
      </c>
      <c r="Q8" s="3" t="str">
        <f t="shared" si="3"/>
        <v xml:space="preserve"> </v>
      </c>
      <c r="R8" s="419" t="s">
        <v>564</v>
      </c>
      <c r="S8" s="301"/>
      <c r="T8" s="420" t="s">
        <v>542</v>
      </c>
      <c r="U8" s="3" t="str">
        <f t="shared" si="4"/>
        <v>→</v>
      </c>
      <c r="V8" s="206" t="s">
        <v>541</v>
      </c>
      <c r="W8" s="301"/>
      <c r="X8"/>
      <c r="Y8"/>
      <c r="AA8"/>
    </row>
    <row r="9" spans="1:27" x14ac:dyDescent="0.25">
      <c r="A9" t="s">
        <v>570</v>
      </c>
      <c r="B9" t="s">
        <v>59</v>
      </c>
      <c r="C9" s="301"/>
      <c r="D9" s="419" t="s">
        <v>564</v>
      </c>
      <c r="E9" s="3" t="str">
        <f t="shared" si="0"/>
        <v>→</v>
      </c>
      <c r="F9" s="426" t="s">
        <v>566</v>
      </c>
      <c r="G9" s="301"/>
      <c r="H9" s="419" t="s">
        <v>564</v>
      </c>
      <c r="I9" s="3" t="str">
        <f t="shared" si="1"/>
        <v>→</v>
      </c>
      <c r="J9" s="426" t="s">
        <v>566</v>
      </c>
      <c r="K9" s="301"/>
      <c r="L9" s="419" t="s">
        <v>564</v>
      </c>
      <c r="M9" s="3" t="str">
        <f t="shared" si="2"/>
        <v>→</v>
      </c>
      <c r="N9" s="426" t="s">
        <v>566</v>
      </c>
      <c r="O9" s="301"/>
      <c r="P9" s="419" t="s">
        <v>564</v>
      </c>
      <c r="Q9" s="3" t="str">
        <f t="shared" si="3"/>
        <v>→</v>
      </c>
      <c r="R9" s="426" t="s">
        <v>566</v>
      </c>
      <c r="S9" s="301"/>
      <c r="T9" s="420" t="s">
        <v>542</v>
      </c>
      <c r="U9" s="3" t="str">
        <f t="shared" si="4"/>
        <v>→</v>
      </c>
      <c r="V9" s="206" t="s">
        <v>541</v>
      </c>
      <c r="W9" s="301"/>
      <c r="X9"/>
      <c r="Y9"/>
      <c r="AA9"/>
    </row>
    <row r="10" spans="1:27" x14ac:dyDescent="0.25">
      <c r="A10" t="s">
        <v>571</v>
      </c>
      <c r="B10" t="s">
        <v>61</v>
      </c>
      <c r="C10" s="301"/>
      <c r="D10" s="419" t="s">
        <v>572</v>
      </c>
      <c r="E10" s="3" t="str">
        <f t="shared" si="0"/>
        <v xml:space="preserve"> </v>
      </c>
      <c r="F10" s="419" t="s">
        <v>572</v>
      </c>
      <c r="G10" s="301"/>
      <c r="H10" s="419" t="s">
        <v>572</v>
      </c>
      <c r="I10" s="3" t="str">
        <f t="shared" si="1"/>
        <v xml:space="preserve"> </v>
      </c>
      <c r="J10" s="419" t="s">
        <v>572</v>
      </c>
      <c r="K10" s="301"/>
      <c r="L10" s="419" t="s">
        <v>572</v>
      </c>
      <c r="M10" s="3" t="str">
        <f t="shared" si="2"/>
        <v xml:space="preserve"> </v>
      </c>
      <c r="N10" s="419" t="s">
        <v>572</v>
      </c>
      <c r="O10" s="301"/>
      <c r="P10" s="419" t="s">
        <v>572</v>
      </c>
      <c r="Q10" s="3" t="str">
        <f t="shared" si="3"/>
        <v xml:space="preserve"> </v>
      </c>
      <c r="R10" s="419" t="s">
        <v>572</v>
      </c>
      <c r="S10" s="301"/>
      <c r="T10" s="420" t="s">
        <v>542</v>
      </c>
      <c r="U10" s="3" t="str">
        <f t="shared" si="4"/>
        <v>→</v>
      </c>
      <c r="V10" s="206" t="s">
        <v>541</v>
      </c>
      <c r="W10" s="301"/>
      <c r="X10"/>
      <c r="Y10"/>
      <c r="AA10"/>
    </row>
    <row r="11" spans="1:27" x14ac:dyDescent="0.25">
      <c r="A11" t="s">
        <v>573</v>
      </c>
      <c r="B11" t="s">
        <v>63</v>
      </c>
      <c r="C11" s="301"/>
      <c r="D11" s="419" t="s">
        <v>572</v>
      </c>
      <c r="E11" s="3" t="str">
        <f t="shared" si="0"/>
        <v>→</v>
      </c>
      <c r="F11" s="421" t="s">
        <v>7</v>
      </c>
      <c r="G11" s="301"/>
      <c r="H11" s="419" t="s">
        <v>572</v>
      </c>
      <c r="I11" s="3" t="str">
        <f t="shared" si="1"/>
        <v>→</v>
      </c>
      <c r="J11" s="421" t="s">
        <v>7</v>
      </c>
      <c r="K11" s="301"/>
      <c r="L11" s="419" t="s">
        <v>572</v>
      </c>
      <c r="M11" s="3" t="str">
        <f t="shared" si="2"/>
        <v>→</v>
      </c>
      <c r="N11" s="421" t="s">
        <v>7</v>
      </c>
      <c r="O11" s="301"/>
      <c r="P11" s="419" t="s">
        <v>572</v>
      </c>
      <c r="Q11" s="3" t="str">
        <f t="shared" si="3"/>
        <v>→</v>
      </c>
      <c r="R11" s="421" t="s">
        <v>7</v>
      </c>
      <c r="S11" s="301"/>
      <c r="T11" s="420" t="s">
        <v>542</v>
      </c>
      <c r="U11" s="3" t="str">
        <f t="shared" si="4"/>
        <v>→</v>
      </c>
      <c r="V11" s="206" t="s">
        <v>541</v>
      </c>
      <c r="W11" s="301"/>
      <c r="X11"/>
      <c r="Y11"/>
      <c r="AA11"/>
    </row>
    <row r="12" spans="1:27" x14ac:dyDescent="0.25">
      <c r="A12" t="s">
        <v>575</v>
      </c>
      <c r="B12" t="s">
        <v>11</v>
      </c>
      <c r="C12" s="301"/>
      <c r="D12" s="423" t="s">
        <v>11</v>
      </c>
      <c r="E12" s="3" t="str">
        <f t="shared" si="0"/>
        <v xml:space="preserve"> </v>
      </c>
      <c r="F12" s="423" t="s">
        <v>11</v>
      </c>
      <c r="G12" s="301"/>
      <c r="H12" s="422" t="s">
        <v>574</v>
      </c>
      <c r="I12" s="3" t="str">
        <f t="shared" si="1"/>
        <v xml:space="preserve"> </v>
      </c>
      <c r="J12" s="422" t="s">
        <v>574</v>
      </c>
      <c r="K12" s="301"/>
      <c r="L12" s="423" t="s">
        <v>11</v>
      </c>
      <c r="M12" s="3" t="str">
        <f t="shared" si="2"/>
        <v xml:space="preserve"> </v>
      </c>
      <c r="N12" s="423" t="s">
        <v>11</v>
      </c>
      <c r="O12" s="301"/>
      <c r="P12" s="423" t="s">
        <v>11</v>
      </c>
      <c r="Q12" s="3" t="str">
        <f t="shared" si="3"/>
        <v xml:space="preserve"> </v>
      </c>
      <c r="R12" s="423" t="s">
        <v>11</v>
      </c>
      <c r="S12" s="301"/>
      <c r="T12" s="420" t="s">
        <v>542</v>
      </c>
      <c r="U12" s="3" t="str">
        <f t="shared" si="4"/>
        <v>→</v>
      </c>
      <c r="V12" s="206" t="s">
        <v>541</v>
      </c>
      <c r="W12" s="301"/>
      <c r="X12"/>
      <c r="Y12"/>
      <c r="AA12"/>
    </row>
    <row r="13" spans="1:27" x14ac:dyDescent="0.25">
      <c r="A13" t="s">
        <v>576</v>
      </c>
      <c r="B13" t="s">
        <v>12</v>
      </c>
      <c r="C13" s="301"/>
      <c r="D13" s="423" t="s">
        <v>12</v>
      </c>
      <c r="E13" s="3" t="str">
        <f t="shared" si="0"/>
        <v xml:space="preserve"> </v>
      </c>
      <c r="F13" s="423" t="s">
        <v>12</v>
      </c>
      <c r="G13" s="301"/>
      <c r="H13" s="422" t="s">
        <v>574</v>
      </c>
      <c r="I13" s="3" t="str">
        <f t="shared" si="1"/>
        <v xml:space="preserve"> </v>
      </c>
      <c r="J13" s="422" t="s">
        <v>574</v>
      </c>
      <c r="K13" s="301"/>
      <c r="L13" s="423" t="s">
        <v>12</v>
      </c>
      <c r="M13" s="3" t="str">
        <f t="shared" si="2"/>
        <v xml:space="preserve"> </v>
      </c>
      <c r="N13" s="423" t="s">
        <v>12</v>
      </c>
      <c r="O13" s="301"/>
      <c r="P13" s="423" t="s">
        <v>12</v>
      </c>
      <c r="Q13" s="3" t="str">
        <f t="shared" si="3"/>
        <v xml:space="preserve"> </v>
      </c>
      <c r="R13" s="423" t="s">
        <v>12</v>
      </c>
      <c r="S13" s="301"/>
      <c r="T13" s="420" t="s">
        <v>542</v>
      </c>
      <c r="U13" s="3" t="str">
        <f t="shared" si="4"/>
        <v>→</v>
      </c>
      <c r="V13" s="206" t="s">
        <v>541</v>
      </c>
      <c r="W13" s="301"/>
      <c r="X13"/>
      <c r="Y13"/>
      <c r="AA13"/>
    </row>
    <row r="14" spans="1:27" x14ac:dyDescent="0.25">
      <c r="A14" t="s">
        <v>577</v>
      </c>
      <c r="B14" t="s">
        <v>13</v>
      </c>
      <c r="C14" s="301"/>
      <c r="D14" s="423" t="s">
        <v>13</v>
      </c>
      <c r="E14" s="3" t="str">
        <f t="shared" si="0"/>
        <v xml:space="preserve"> </v>
      </c>
      <c r="F14" s="423" t="s">
        <v>13</v>
      </c>
      <c r="G14" s="301"/>
      <c r="H14" s="422" t="s">
        <v>574</v>
      </c>
      <c r="I14" s="3" t="str">
        <f t="shared" si="1"/>
        <v xml:space="preserve"> </v>
      </c>
      <c r="J14" s="422" t="s">
        <v>574</v>
      </c>
      <c r="K14" s="301"/>
      <c r="L14" s="423" t="s">
        <v>13</v>
      </c>
      <c r="M14" s="3" t="str">
        <f t="shared" si="2"/>
        <v xml:space="preserve"> </v>
      </c>
      <c r="N14" s="423" t="s">
        <v>13</v>
      </c>
      <c r="O14" s="301"/>
      <c r="P14" s="423" t="s">
        <v>13</v>
      </c>
      <c r="Q14" s="3" t="str">
        <f t="shared" si="3"/>
        <v xml:space="preserve"> </v>
      </c>
      <c r="R14" s="423" t="s">
        <v>13</v>
      </c>
      <c r="S14" s="301"/>
      <c r="T14" s="422" t="s">
        <v>574</v>
      </c>
      <c r="U14" s="3" t="str">
        <f t="shared" si="4"/>
        <v xml:space="preserve"> </v>
      </c>
      <c r="V14" s="422" t="s">
        <v>574</v>
      </c>
      <c r="W14" s="301"/>
      <c r="X14"/>
      <c r="Y14"/>
      <c r="AA14"/>
    </row>
    <row r="15" spans="1:27" x14ac:dyDescent="0.25">
      <c r="A15" t="s">
        <v>578</v>
      </c>
      <c r="B15" t="s">
        <v>380</v>
      </c>
      <c r="C15" s="301"/>
      <c r="D15" s="422" t="s">
        <v>574</v>
      </c>
      <c r="E15" s="3" t="str">
        <f t="shared" si="0"/>
        <v xml:space="preserve"> </v>
      </c>
      <c r="F15" s="422" t="s">
        <v>574</v>
      </c>
      <c r="G15" s="301"/>
      <c r="H15" s="422" t="s">
        <v>574</v>
      </c>
      <c r="I15" s="3" t="str">
        <f t="shared" si="1"/>
        <v xml:space="preserve"> </v>
      </c>
      <c r="J15" s="422" t="s">
        <v>574</v>
      </c>
      <c r="K15" s="301"/>
      <c r="L15" s="424" t="s">
        <v>8</v>
      </c>
      <c r="M15" s="3" t="str">
        <f t="shared" si="2"/>
        <v xml:space="preserve"> </v>
      </c>
      <c r="N15" s="424" t="s">
        <v>8</v>
      </c>
      <c r="O15" s="301"/>
      <c r="P15" s="424" t="s">
        <v>8</v>
      </c>
      <c r="Q15" s="3" t="str">
        <f t="shared" si="3"/>
        <v xml:space="preserve"> </v>
      </c>
      <c r="R15" s="424" t="s">
        <v>8</v>
      </c>
      <c r="S15" s="301"/>
      <c r="T15" s="422" t="s">
        <v>574</v>
      </c>
      <c r="U15" s="3" t="str">
        <f t="shared" si="4"/>
        <v xml:space="preserve"> </v>
      </c>
      <c r="V15" s="422" t="s">
        <v>574</v>
      </c>
      <c r="W15" s="301"/>
      <c r="X15"/>
      <c r="Y15"/>
      <c r="AA15"/>
    </row>
    <row r="16" spans="1:27" x14ac:dyDescent="0.25">
      <c r="A16" t="s">
        <v>579</v>
      </c>
      <c r="B16" t="s">
        <v>14</v>
      </c>
      <c r="C16" s="301"/>
      <c r="D16" s="423" t="s">
        <v>14</v>
      </c>
      <c r="E16" s="3" t="str">
        <f t="shared" si="0"/>
        <v xml:space="preserve"> </v>
      </c>
      <c r="F16" s="423" t="s">
        <v>14</v>
      </c>
      <c r="G16" s="301"/>
      <c r="H16" s="422" t="s">
        <v>574</v>
      </c>
      <c r="I16" s="3" t="str">
        <f t="shared" si="1"/>
        <v xml:space="preserve"> </v>
      </c>
      <c r="J16" s="422" t="s">
        <v>574</v>
      </c>
      <c r="K16" s="301"/>
      <c r="L16" s="423" t="s">
        <v>14</v>
      </c>
      <c r="M16" s="3" t="str">
        <f t="shared" si="2"/>
        <v xml:space="preserve"> </v>
      </c>
      <c r="N16" s="423" t="s">
        <v>14</v>
      </c>
      <c r="O16" s="301"/>
      <c r="P16" s="423" t="s">
        <v>14</v>
      </c>
      <c r="Q16" s="3" t="str">
        <f t="shared" si="3"/>
        <v xml:space="preserve"> </v>
      </c>
      <c r="R16" s="423" t="s">
        <v>14</v>
      </c>
      <c r="S16" s="301"/>
      <c r="T16" s="422" t="s">
        <v>574</v>
      </c>
      <c r="U16" s="3" t="str">
        <f t="shared" si="4"/>
        <v xml:space="preserve"> </v>
      </c>
      <c r="V16" s="422" t="s">
        <v>574</v>
      </c>
      <c r="W16" s="301"/>
      <c r="X16"/>
      <c r="Y16"/>
      <c r="AA16"/>
    </row>
    <row r="17" spans="1:27" x14ac:dyDescent="0.25">
      <c r="A17" t="s">
        <v>580</v>
      </c>
      <c r="B17" t="s">
        <v>72</v>
      </c>
      <c r="C17" s="301"/>
      <c r="D17" s="438" t="s">
        <v>72</v>
      </c>
      <c r="E17" s="439" t="str">
        <f t="shared" si="0"/>
        <v xml:space="preserve"> </v>
      </c>
      <c r="F17" s="438" t="s">
        <v>72</v>
      </c>
      <c r="G17" s="301"/>
      <c r="H17" s="422" t="s">
        <v>574</v>
      </c>
      <c r="I17" s="3" t="str">
        <f t="shared" si="1"/>
        <v xml:space="preserve"> </v>
      </c>
      <c r="J17" s="422" t="s">
        <v>574</v>
      </c>
      <c r="K17" s="301"/>
      <c r="L17" s="423" t="s">
        <v>72</v>
      </c>
      <c r="M17" s="3" t="str">
        <f t="shared" si="2"/>
        <v xml:space="preserve"> </v>
      </c>
      <c r="N17" s="423" t="s">
        <v>72</v>
      </c>
      <c r="O17" s="301"/>
      <c r="P17" s="423" t="s">
        <v>72</v>
      </c>
      <c r="Q17" s="3" t="str">
        <f t="shared" si="3"/>
        <v xml:space="preserve"> </v>
      </c>
      <c r="R17" s="423" t="s">
        <v>72</v>
      </c>
      <c r="S17" s="301"/>
      <c r="T17" s="422" t="s">
        <v>574</v>
      </c>
      <c r="U17" s="3" t="str">
        <f t="shared" si="4"/>
        <v xml:space="preserve"> </v>
      </c>
      <c r="V17" s="422" t="s">
        <v>574</v>
      </c>
      <c r="W17" s="301"/>
      <c r="X17"/>
      <c r="Y17"/>
      <c r="AA17"/>
    </row>
    <row r="18" spans="1:27" x14ac:dyDescent="0.25">
      <c r="A18" t="s">
        <v>581</v>
      </c>
      <c r="B18" t="s">
        <v>15</v>
      </c>
      <c r="C18" s="301"/>
      <c r="D18" s="423" t="s">
        <v>15</v>
      </c>
      <c r="E18" s="3" t="str">
        <f t="shared" si="0"/>
        <v xml:space="preserve"> </v>
      </c>
      <c r="F18" s="423" t="s">
        <v>15</v>
      </c>
      <c r="G18" s="301"/>
      <c r="H18" s="422" t="s">
        <v>574</v>
      </c>
      <c r="I18" s="3" t="str">
        <f t="shared" si="1"/>
        <v xml:space="preserve"> </v>
      </c>
      <c r="J18" s="422" t="s">
        <v>574</v>
      </c>
      <c r="K18" s="301"/>
      <c r="L18" s="423" t="s">
        <v>15</v>
      </c>
      <c r="M18" s="3" t="str">
        <f t="shared" si="2"/>
        <v xml:space="preserve"> </v>
      </c>
      <c r="N18" s="423" t="s">
        <v>15</v>
      </c>
      <c r="O18" s="301"/>
      <c r="P18" s="423" t="s">
        <v>15</v>
      </c>
      <c r="Q18" s="3" t="str">
        <f t="shared" si="3"/>
        <v xml:space="preserve"> </v>
      </c>
      <c r="R18" s="423" t="s">
        <v>15</v>
      </c>
      <c r="S18" s="301"/>
      <c r="T18" s="422" t="s">
        <v>574</v>
      </c>
      <c r="U18" s="3" t="str">
        <f t="shared" si="4"/>
        <v xml:space="preserve"> </v>
      </c>
      <c r="V18" s="422" t="s">
        <v>574</v>
      </c>
      <c r="W18" s="301"/>
      <c r="X18"/>
      <c r="Y18"/>
      <c r="AA18"/>
    </row>
    <row r="19" spans="1:27" x14ac:dyDescent="0.25">
      <c r="A19" t="s">
        <v>582</v>
      </c>
      <c r="B19" t="s">
        <v>16</v>
      </c>
      <c r="C19" s="301"/>
      <c r="D19" s="424" t="s">
        <v>7</v>
      </c>
      <c r="E19" s="3" t="str">
        <f t="shared" si="0"/>
        <v>→</v>
      </c>
      <c r="F19" s="672" t="s">
        <v>16</v>
      </c>
      <c r="G19" s="301"/>
      <c r="H19" s="422" t="s">
        <v>574</v>
      </c>
      <c r="I19" s="3" t="str">
        <f t="shared" si="1"/>
        <v xml:space="preserve"> </v>
      </c>
      <c r="J19" s="422" t="s">
        <v>574</v>
      </c>
      <c r="K19" s="301"/>
      <c r="L19" s="423" t="s">
        <v>16</v>
      </c>
      <c r="M19" s="3" t="str">
        <f t="shared" si="2"/>
        <v xml:space="preserve"> </v>
      </c>
      <c r="N19" s="423" t="s">
        <v>16</v>
      </c>
      <c r="O19" s="301"/>
      <c r="P19" s="423" t="s">
        <v>16</v>
      </c>
      <c r="Q19" s="3" t="str">
        <f t="shared" si="3"/>
        <v xml:space="preserve"> </v>
      </c>
      <c r="R19" s="423" t="s">
        <v>16</v>
      </c>
      <c r="S19" s="301"/>
      <c r="T19" s="422" t="s">
        <v>574</v>
      </c>
      <c r="U19" s="3" t="str">
        <f t="shared" si="4"/>
        <v xml:space="preserve"> </v>
      </c>
      <c r="V19" s="422" t="s">
        <v>574</v>
      </c>
      <c r="W19" s="301"/>
      <c r="X19"/>
      <c r="Y19"/>
      <c r="AA19"/>
    </row>
    <row r="20" spans="1:27" x14ac:dyDescent="0.25">
      <c r="A20" t="s">
        <v>583</v>
      </c>
      <c r="B20" t="s">
        <v>76</v>
      </c>
      <c r="C20" s="301"/>
      <c r="D20" s="424" t="s">
        <v>7</v>
      </c>
      <c r="E20" s="3" t="str">
        <f t="shared" si="0"/>
        <v xml:space="preserve"> </v>
      </c>
      <c r="F20" s="424" t="s">
        <v>7</v>
      </c>
      <c r="G20" s="301"/>
      <c r="H20" s="422" t="s">
        <v>574</v>
      </c>
      <c r="I20" s="3" t="str">
        <f t="shared" si="1"/>
        <v xml:space="preserve"> </v>
      </c>
      <c r="J20" s="422" t="s">
        <v>574</v>
      </c>
      <c r="K20" s="301"/>
      <c r="L20" s="424" t="s">
        <v>9</v>
      </c>
      <c r="M20" s="3" t="str">
        <f t="shared" si="2"/>
        <v>→</v>
      </c>
      <c r="N20" s="421" t="s">
        <v>7</v>
      </c>
      <c r="O20" s="301"/>
      <c r="P20" s="424" t="s">
        <v>7</v>
      </c>
      <c r="Q20" s="3" t="str">
        <f t="shared" si="3"/>
        <v xml:space="preserve"> </v>
      </c>
      <c r="R20" s="424" t="s">
        <v>7</v>
      </c>
      <c r="S20" s="301"/>
      <c r="T20" s="422" t="s">
        <v>574</v>
      </c>
      <c r="U20" s="3" t="str">
        <f t="shared" si="4"/>
        <v xml:space="preserve"> </v>
      </c>
      <c r="V20" s="422" t="s">
        <v>574</v>
      </c>
      <c r="W20" s="301"/>
      <c r="X20"/>
      <c r="Y20"/>
      <c r="AA20"/>
    </row>
    <row r="21" spans="1:27" x14ac:dyDescent="0.25">
      <c r="A21" t="s">
        <v>584</v>
      </c>
      <c r="B21" t="s">
        <v>78</v>
      </c>
      <c r="C21" s="301"/>
      <c r="D21" s="423" t="s">
        <v>17</v>
      </c>
      <c r="E21" s="3" t="str">
        <f t="shared" si="0"/>
        <v xml:space="preserve"> </v>
      </c>
      <c r="F21" s="423" t="s">
        <v>17</v>
      </c>
      <c r="G21" s="301"/>
      <c r="H21" s="423" t="s">
        <v>17</v>
      </c>
      <c r="I21" s="3" t="str">
        <f t="shared" si="1"/>
        <v xml:space="preserve"> </v>
      </c>
      <c r="J21" s="423" t="s">
        <v>17</v>
      </c>
      <c r="K21" s="301"/>
      <c r="L21" s="423" t="s">
        <v>17</v>
      </c>
      <c r="M21" s="3" t="str">
        <f t="shared" si="2"/>
        <v xml:space="preserve"> </v>
      </c>
      <c r="N21" s="423" t="s">
        <v>17</v>
      </c>
      <c r="O21" s="301"/>
      <c r="P21" s="423" t="s">
        <v>17</v>
      </c>
      <c r="Q21" s="3" t="str">
        <f t="shared" si="3"/>
        <v xml:space="preserve"> </v>
      </c>
      <c r="R21" s="423" t="s">
        <v>17</v>
      </c>
      <c r="S21" s="301"/>
      <c r="T21" s="420" t="s">
        <v>542</v>
      </c>
      <c r="U21" s="3" t="str">
        <f t="shared" si="4"/>
        <v>→</v>
      </c>
      <c r="V21" s="206" t="s">
        <v>541</v>
      </c>
      <c r="W21" s="301"/>
      <c r="X21"/>
      <c r="Y21"/>
      <c r="AA21"/>
    </row>
    <row r="22" spans="1:27" x14ac:dyDescent="0.25">
      <c r="A22" t="s">
        <v>585</v>
      </c>
      <c r="B22" t="s">
        <v>586</v>
      </c>
      <c r="C22" s="301"/>
      <c r="D22" s="424" t="s">
        <v>9</v>
      </c>
      <c r="E22" s="3" t="str">
        <f t="shared" si="0"/>
        <v xml:space="preserve"> </v>
      </c>
      <c r="F22" s="424" t="s">
        <v>9</v>
      </c>
      <c r="G22" s="301"/>
      <c r="H22" s="422" t="s">
        <v>574</v>
      </c>
      <c r="I22" s="3" t="str">
        <f t="shared" si="1"/>
        <v xml:space="preserve"> </v>
      </c>
      <c r="J22" s="422" t="s">
        <v>574</v>
      </c>
      <c r="K22" s="301"/>
      <c r="L22" s="424" t="s">
        <v>9</v>
      </c>
      <c r="M22" s="3" t="str">
        <f t="shared" si="2"/>
        <v xml:space="preserve"> </v>
      </c>
      <c r="N22" s="424" t="s">
        <v>9</v>
      </c>
      <c r="O22" s="301"/>
      <c r="P22" s="424" t="s">
        <v>9</v>
      </c>
      <c r="Q22" s="3" t="str">
        <f t="shared" si="3"/>
        <v xml:space="preserve"> </v>
      </c>
      <c r="R22" s="424" t="s">
        <v>9</v>
      </c>
      <c r="S22" s="301"/>
      <c r="T22" s="422" t="s">
        <v>574</v>
      </c>
      <c r="U22" s="3" t="str">
        <f t="shared" si="4"/>
        <v xml:space="preserve"> </v>
      </c>
      <c r="V22" s="422" t="s">
        <v>574</v>
      </c>
      <c r="W22" s="425"/>
      <c r="X22"/>
      <c r="Y22"/>
      <c r="AA22"/>
    </row>
    <row r="23" spans="1:27" x14ac:dyDescent="0.25">
      <c r="A23" t="s">
        <v>587</v>
      </c>
      <c r="B23" t="s">
        <v>81</v>
      </c>
      <c r="C23" s="301"/>
      <c r="D23" s="424" t="s">
        <v>7</v>
      </c>
      <c r="E23" s="3" t="str">
        <f t="shared" si="0"/>
        <v xml:space="preserve"> </v>
      </c>
      <c r="F23" s="424" t="s">
        <v>7</v>
      </c>
      <c r="G23" s="301"/>
      <c r="H23" s="422" t="s">
        <v>574</v>
      </c>
      <c r="I23" s="3" t="str">
        <f t="shared" si="1"/>
        <v xml:space="preserve"> </v>
      </c>
      <c r="J23" s="422" t="s">
        <v>574</v>
      </c>
      <c r="K23" s="301"/>
      <c r="L23" s="424" t="s">
        <v>7</v>
      </c>
      <c r="M23" s="3" t="str">
        <f t="shared" si="2"/>
        <v xml:space="preserve"> </v>
      </c>
      <c r="N23" s="424" t="s">
        <v>7</v>
      </c>
      <c r="O23" s="301"/>
      <c r="P23" s="424" t="s">
        <v>7</v>
      </c>
      <c r="Q23" s="3" t="str">
        <f t="shared" si="3"/>
        <v xml:space="preserve"> </v>
      </c>
      <c r="R23" s="424" t="s">
        <v>7</v>
      </c>
      <c r="S23" s="301"/>
      <c r="T23" s="422" t="s">
        <v>574</v>
      </c>
      <c r="U23" s="3" t="str">
        <f t="shared" si="4"/>
        <v xml:space="preserve"> </v>
      </c>
      <c r="V23" s="422" t="s">
        <v>574</v>
      </c>
      <c r="W23" s="425"/>
      <c r="X23"/>
      <c r="Y23"/>
      <c r="AA23"/>
    </row>
    <row r="24" spans="1:27" x14ac:dyDescent="0.25">
      <c r="A24" t="s">
        <v>588</v>
      </c>
      <c r="B24" t="s">
        <v>19</v>
      </c>
      <c r="C24" s="301"/>
      <c r="D24" s="424" t="s">
        <v>7</v>
      </c>
      <c r="E24" s="3" t="str">
        <f t="shared" si="0"/>
        <v xml:space="preserve"> </v>
      </c>
      <c r="F24" s="424" t="s">
        <v>7</v>
      </c>
      <c r="G24" s="301"/>
      <c r="H24" s="424" t="s">
        <v>7</v>
      </c>
      <c r="I24" s="3" t="str">
        <f t="shared" si="1"/>
        <v xml:space="preserve"> </v>
      </c>
      <c r="J24" s="424" t="s">
        <v>7</v>
      </c>
      <c r="K24" s="301"/>
      <c r="L24" s="424" t="s">
        <v>7</v>
      </c>
      <c r="M24" s="3" t="str">
        <f t="shared" si="2"/>
        <v xml:space="preserve"> </v>
      </c>
      <c r="N24" s="424" t="s">
        <v>7</v>
      </c>
      <c r="O24" s="301"/>
      <c r="P24" s="424" t="s">
        <v>7</v>
      </c>
      <c r="Q24" s="3" t="str">
        <f t="shared" si="3"/>
        <v xml:space="preserve"> </v>
      </c>
      <c r="R24" s="424" t="s">
        <v>7</v>
      </c>
      <c r="S24" s="301"/>
      <c r="T24" s="420" t="s">
        <v>542</v>
      </c>
      <c r="U24" s="3" t="str">
        <f t="shared" si="4"/>
        <v>→</v>
      </c>
      <c r="V24" s="206" t="s">
        <v>541</v>
      </c>
      <c r="W24" s="301"/>
      <c r="X24"/>
      <c r="Y24"/>
      <c r="AA24"/>
    </row>
    <row r="25" spans="1:27" x14ac:dyDescent="0.25">
      <c r="A25" t="s">
        <v>589</v>
      </c>
      <c r="B25" t="s">
        <v>20</v>
      </c>
      <c r="C25" s="301"/>
      <c r="D25" s="424" t="s">
        <v>7</v>
      </c>
      <c r="E25" s="3" t="str">
        <f t="shared" si="0"/>
        <v xml:space="preserve"> </v>
      </c>
      <c r="F25" s="424" t="s">
        <v>7</v>
      </c>
      <c r="G25" s="301"/>
      <c r="H25" s="424" t="s">
        <v>7</v>
      </c>
      <c r="I25" s="3" t="str">
        <f t="shared" si="1"/>
        <v xml:space="preserve"> </v>
      </c>
      <c r="J25" s="424" t="s">
        <v>7</v>
      </c>
      <c r="K25" s="301"/>
      <c r="L25" s="424" t="s">
        <v>7</v>
      </c>
      <c r="M25" s="3" t="str">
        <f t="shared" si="2"/>
        <v xml:space="preserve"> </v>
      </c>
      <c r="N25" s="424" t="s">
        <v>7</v>
      </c>
      <c r="O25" s="301"/>
      <c r="P25" s="424" t="s">
        <v>7</v>
      </c>
      <c r="Q25" s="3" t="str">
        <f t="shared" si="3"/>
        <v xml:space="preserve"> </v>
      </c>
      <c r="R25" s="424" t="s">
        <v>7</v>
      </c>
      <c r="S25" s="301"/>
      <c r="T25" s="420" t="s">
        <v>542</v>
      </c>
      <c r="U25" s="3" t="str">
        <f t="shared" si="4"/>
        <v>→</v>
      </c>
      <c r="V25" s="206" t="s">
        <v>541</v>
      </c>
      <c r="W25" s="301"/>
      <c r="X25"/>
      <c r="Y25"/>
      <c r="AA25"/>
    </row>
    <row r="26" spans="1:27" x14ac:dyDescent="0.25">
      <c r="A26" t="s">
        <v>590</v>
      </c>
      <c r="B26" t="s">
        <v>266</v>
      </c>
      <c r="C26" s="301"/>
      <c r="D26" s="424" t="s">
        <v>7</v>
      </c>
      <c r="E26" s="3" t="str">
        <f t="shared" si="0"/>
        <v xml:space="preserve"> </v>
      </c>
      <c r="F26" s="424" t="s">
        <v>7</v>
      </c>
      <c r="G26" s="301"/>
      <c r="H26" s="424" t="s">
        <v>7</v>
      </c>
      <c r="I26" s="3" t="str">
        <f t="shared" si="1"/>
        <v xml:space="preserve"> </v>
      </c>
      <c r="J26" s="424" t="s">
        <v>7</v>
      </c>
      <c r="K26" s="301"/>
      <c r="L26" s="424" t="s">
        <v>7</v>
      </c>
      <c r="M26" s="3" t="str">
        <f t="shared" si="2"/>
        <v xml:space="preserve"> </v>
      </c>
      <c r="N26" s="424" t="s">
        <v>7</v>
      </c>
      <c r="O26" s="301"/>
      <c r="P26" s="424" t="s">
        <v>7</v>
      </c>
      <c r="Q26" s="3" t="str">
        <f t="shared" si="3"/>
        <v xml:space="preserve"> </v>
      </c>
      <c r="R26" s="424" t="s">
        <v>7</v>
      </c>
      <c r="S26" s="301"/>
      <c r="T26" s="422" t="s">
        <v>574</v>
      </c>
      <c r="U26" s="3" t="str">
        <f t="shared" si="4"/>
        <v xml:space="preserve"> </v>
      </c>
      <c r="V26" s="422" t="s">
        <v>574</v>
      </c>
      <c r="W26" s="301"/>
      <c r="X26"/>
      <c r="Y26"/>
      <c r="AA26"/>
    </row>
    <row r="27" spans="1:27" x14ac:dyDescent="0.25">
      <c r="A27" t="s">
        <v>591</v>
      </c>
      <c r="B27" t="s">
        <v>21</v>
      </c>
      <c r="C27" s="301"/>
      <c r="D27" s="424" t="s">
        <v>7</v>
      </c>
      <c r="E27" s="3" t="str">
        <f t="shared" si="0"/>
        <v xml:space="preserve"> </v>
      </c>
      <c r="F27" s="424" t="s">
        <v>7</v>
      </c>
      <c r="G27" s="301"/>
      <c r="H27" s="424" t="s">
        <v>7</v>
      </c>
      <c r="I27" s="3" t="str">
        <f t="shared" si="1"/>
        <v xml:space="preserve"> </v>
      </c>
      <c r="J27" s="424" t="s">
        <v>7</v>
      </c>
      <c r="K27" s="301"/>
      <c r="L27" s="424" t="s">
        <v>7</v>
      </c>
      <c r="M27" s="3" t="str">
        <f t="shared" si="2"/>
        <v xml:space="preserve"> </v>
      </c>
      <c r="N27" s="424" t="s">
        <v>7</v>
      </c>
      <c r="O27" s="301"/>
      <c r="P27" s="424" t="s">
        <v>7</v>
      </c>
      <c r="Q27" s="3" t="str">
        <f t="shared" si="3"/>
        <v xml:space="preserve"> </v>
      </c>
      <c r="R27" s="424" t="s">
        <v>7</v>
      </c>
      <c r="S27" s="301"/>
      <c r="T27" s="420" t="s">
        <v>542</v>
      </c>
      <c r="U27" s="3" t="str">
        <f t="shared" si="4"/>
        <v>→</v>
      </c>
      <c r="V27" s="206" t="s">
        <v>541</v>
      </c>
      <c r="W27" s="301"/>
      <c r="X27"/>
      <c r="Y27"/>
      <c r="AA27"/>
    </row>
    <row r="28" spans="1:27" x14ac:dyDescent="0.25">
      <c r="A28" t="s">
        <v>592</v>
      </c>
      <c r="B28" t="s">
        <v>268</v>
      </c>
      <c r="C28" s="301"/>
      <c r="D28" s="422" t="s">
        <v>574</v>
      </c>
      <c r="E28" s="3" t="str">
        <f t="shared" si="0"/>
        <v xml:space="preserve"> </v>
      </c>
      <c r="F28" s="422" t="s">
        <v>574</v>
      </c>
      <c r="G28" s="301"/>
      <c r="H28" s="424" t="s">
        <v>7</v>
      </c>
      <c r="I28" s="3" t="str">
        <f t="shared" si="1"/>
        <v xml:space="preserve"> </v>
      </c>
      <c r="J28" s="424" t="s">
        <v>7</v>
      </c>
      <c r="K28" s="301"/>
      <c r="L28" s="422" t="s">
        <v>574</v>
      </c>
      <c r="M28" s="3" t="str">
        <f t="shared" si="2"/>
        <v xml:space="preserve"> </v>
      </c>
      <c r="N28" s="422" t="s">
        <v>574</v>
      </c>
      <c r="O28" s="301"/>
      <c r="P28" s="424" t="s">
        <v>7</v>
      </c>
      <c r="Q28" s="3" t="str">
        <f t="shared" ref="Q28" si="5">IF(P28=R28," ","→")</f>
        <v xml:space="preserve"> </v>
      </c>
      <c r="R28" s="424" t="s">
        <v>7</v>
      </c>
      <c r="S28" s="301"/>
      <c r="T28" s="422" t="s">
        <v>574</v>
      </c>
      <c r="U28" s="3" t="str">
        <f t="shared" si="4"/>
        <v xml:space="preserve"> </v>
      </c>
      <c r="V28" s="422" t="s">
        <v>574</v>
      </c>
      <c r="W28" s="301"/>
      <c r="X28"/>
      <c r="Y28"/>
      <c r="AA28"/>
    </row>
    <row r="29" spans="1:27" x14ac:dyDescent="0.25">
      <c r="A29" t="s">
        <v>593</v>
      </c>
      <c r="B29" t="s">
        <v>594</v>
      </c>
      <c r="C29" s="301"/>
      <c r="D29" s="424" t="s">
        <v>7</v>
      </c>
      <c r="E29" s="3" t="str">
        <f t="shared" si="0"/>
        <v xml:space="preserve"> </v>
      </c>
      <c r="F29" s="424" t="s">
        <v>7</v>
      </c>
      <c r="G29" s="301"/>
      <c r="H29" s="422" t="s">
        <v>574</v>
      </c>
      <c r="I29" s="3" t="str">
        <f t="shared" si="1"/>
        <v xml:space="preserve"> </v>
      </c>
      <c r="J29" s="422" t="s">
        <v>574</v>
      </c>
      <c r="K29" s="301"/>
      <c r="L29" s="424" t="s">
        <v>7</v>
      </c>
      <c r="M29" s="3" t="str">
        <f t="shared" si="2"/>
        <v xml:space="preserve"> </v>
      </c>
      <c r="N29" s="424" t="s">
        <v>7</v>
      </c>
      <c r="O29" s="301"/>
      <c r="P29" s="424" t="s">
        <v>7</v>
      </c>
      <c r="Q29" s="3" t="str">
        <f t="shared" si="3"/>
        <v xml:space="preserve"> </v>
      </c>
      <c r="R29" s="424" t="s">
        <v>7</v>
      </c>
      <c r="S29" s="301"/>
      <c r="T29" s="121" t="s">
        <v>574</v>
      </c>
      <c r="U29" s="3" t="str">
        <f t="shared" si="4"/>
        <v xml:space="preserve"> </v>
      </c>
      <c r="V29" s="121" t="s">
        <v>574</v>
      </c>
      <c r="W29" s="301"/>
      <c r="X29"/>
      <c r="Y29"/>
      <c r="AA29"/>
    </row>
    <row r="30" spans="1:27" x14ac:dyDescent="0.25">
      <c r="A30" t="s">
        <v>595</v>
      </c>
      <c r="B30" t="s">
        <v>596</v>
      </c>
      <c r="C30" s="301"/>
      <c r="D30" s="419" t="s">
        <v>572</v>
      </c>
      <c r="E30" s="3" t="str">
        <f t="shared" si="0"/>
        <v>→</v>
      </c>
      <c r="F30" s="421" t="s">
        <v>7</v>
      </c>
      <c r="G30" s="301"/>
      <c r="H30" s="419" t="s">
        <v>572</v>
      </c>
      <c r="I30" s="3" t="str">
        <f t="shared" si="1"/>
        <v>→</v>
      </c>
      <c r="J30" s="421" t="s">
        <v>7</v>
      </c>
      <c r="K30" s="301"/>
      <c r="L30" s="419" t="s">
        <v>572</v>
      </c>
      <c r="M30" s="3" t="str">
        <f t="shared" si="2"/>
        <v>→</v>
      </c>
      <c r="N30" s="421" t="s">
        <v>7</v>
      </c>
      <c r="O30" s="301"/>
      <c r="P30" s="419" t="s">
        <v>572</v>
      </c>
      <c r="Q30" s="3" t="str">
        <f t="shared" si="3"/>
        <v>→</v>
      </c>
      <c r="R30" s="421" t="s">
        <v>7</v>
      </c>
      <c r="S30" s="301"/>
      <c r="T30" s="121" t="s">
        <v>574</v>
      </c>
      <c r="U30" s="3" t="str">
        <f t="shared" si="4"/>
        <v xml:space="preserve"> </v>
      </c>
      <c r="V30" s="121" t="s">
        <v>574</v>
      </c>
      <c r="W30" s="301"/>
      <c r="X30"/>
      <c r="Y30"/>
      <c r="AA30"/>
    </row>
    <row r="31" spans="1:27" x14ac:dyDescent="0.25">
      <c r="A31" t="s">
        <v>597</v>
      </c>
      <c r="B31" t="s">
        <v>91</v>
      </c>
      <c r="C31" s="301"/>
      <c r="D31" s="424" t="s">
        <v>7</v>
      </c>
      <c r="E31" s="3" t="str">
        <f t="shared" si="0"/>
        <v xml:space="preserve"> </v>
      </c>
      <c r="F31" s="424" t="s">
        <v>7</v>
      </c>
      <c r="G31" s="301"/>
      <c r="H31" s="422" t="s">
        <v>574</v>
      </c>
      <c r="I31" s="3" t="str">
        <f t="shared" si="1"/>
        <v xml:space="preserve"> </v>
      </c>
      <c r="J31" s="422" t="s">
        <v>574</v>
      </c>
      <c r="K31" s="301"/>
      <c r="L31" s="424" t="s">
        <v>7</v>
      </c>
      <c r="M31" s="3" t="str">
        <f t="shared" si="2"/>
        <v xml:space="preserve"> </v>
      </c>
      <c r="N31" s="424" t="s">
        <v>7</v>
      </c>
      <c r="O31" s="301"/>
      <c r="P31" s="424" t="s">
        <v>7</v>
      </c>
      <c r="Q31" s="3" t="str">
        <f t="shared" si="3"/>
        <v xml:space="preserve"> </v>
      </c>
      <c r="R31" s="424" t="s">
        <v>7</v>
      </c>
      <c r="S31" s="301"/>
      <c r="T31" s="121" t="s">
        <v>574</v>
      </c>
      <c r="U31" s="3" t="str">
        <f t="shared" si="4"/>
        <v xml:space="preserve"> </v>
      </c>
      <c r="V31" s="121" t="s">
        <v>574</v>
      </c>
      <c r="W31" s="301"/>
      <c r="X31"/>
      <c r="Y31"/>
      <c r="AA31"/>
    </row>
    <row r="32" spans="1:27" x14ac:dyDescent="0.25">
      <c r="A32" t="s">
        <v>598</v>
      </c>
      <c r="B32" t="s">
        <v>93</v>
      </c>
      <c r="C32" s="301"/>
      <c r="D32" s="424" t="s">
        <v>7</v>
      </c>
      <c r="E32" s="3" t="str">
        <f t="shared" si="0"/>
        <v xml:space="preserve"> </v>
      </c>
      <c r="F32" s="424" t="s">
        <v>7</v>
      </c>
      <c r="G32" s="301"/>
      <c r="H32" s="422" t="s">
        <v>574</v>
      </c>
      <c r="I32" s="3" t="str">
        <f t="shared" si="1"/>
        <v xml:space="preserve"> </v>
      </c>
      <c r="J32" s="422" t="s">
        <v>574</v>
      </c>
      <c r="K32" s="301"/>
      <c r="L32" s="424" t="s">
        <v>7</v>
      </c>
      <c r="M32" s="3" t="str">
        <f t="shared" si="2"/>
        <v xml:space="preserve"> </v>
      </c>
      <c r="N32" s="424" t="s">
        <v>7</v>
      </c>
      <c r="O32" s="301"/>
      <c r="P32" s="424" t="s">
        <v>7</v>
      </c>
      <c r="Q32" s="3" t="str">
        <f t="shared" si="3"/>
        <v xml:space="preserve"> </v>
      </c>
      <c r="R32" s="424" t="s">
        <v>7</v>
      </c>
      <c r="S32" s="301"/>
      <c r="T32" s="121" t="s">
        <v>574</v>
      </c>
      <c r="U32" s="3" t="str">
        <f t="shared" si="4"/>
        <v xml:space="preserve"> </v>
      </c>
      <c r="V32" s="121" t="s">
        <v>574</v>
      </c>
      <c r="W32" s="301"/>
      <c r="X32"/>
      <c r="Y32"/>
      <c r="AA32"/>
    </row>
    <row r="33" spans="1:27" x14ac:dyDescent="0.25">
      <c r="A33" t="s">
        <v>599</v>
      </c>
      <c r="B33" t="s">
        <v>22</v>
      </c>
      <c r="C33" s="301"/>
      <c r="D33" s="423" t="s">
        <v>22</v>
      </c>
      <c r="E33" s="3" t="str">
        <f t="shared" si="0"/>
        <v xml:space="preserve"> </v>
      </c>
      <c r="F33" s="423" t="s">
        <v>22</v>
      </c>
      <c r="G33" s="301"/>
      <c r="H33" s="422" t="s">
        <v>574</v>
      </c>
      <c r="I33" s="3" t="str">
        <f t="shared" si="1"/>
        <v xml:space="preserve"> </v>
      </c>
      <c r="J33" s="422" t="s">
        <v>574</v>
      </c>
      <c r="K33" s="301"/>
      <c r="L33" s="423" t="s">
        <v>22</v>
      </c>
      <c r="M33" s="3" t="str">
        <f t="shared" si="2"/>
        <v xml:space="preserve"> </v>
      </c>
      <c r="N33" s="423" t="s">
        <v>22</v>
      </c>
      <c r="O33" s="301"/>
      <c r="P33" s="423" t="s">
        <v>22</v>
      </c>
      <c r="Q33" s="3" t="str">
        <f t="shared" si="3"/>
        <v xml:space="preserve"> </v>
      </c>
      <c r="R33" s="423" t="s">
        <v>22</v>
      </c>
      <c r="S33" s="301"/>
      <c r="T33" s="121" t="s">
        <v>574</v>
      </c>
      <c r="U33" s="3" t="str">
        <f t="shared" si="4"/>
        <v xml:space="preserve"> </v>
      </c>
      <c r="V33" s="121" t="s">
        <v>574</v>
      </c>
      <c r="W33" s="301"/>
      <c r="X33"/>
      <c r="Y33"/>
      <c r="AA33"/>
    </row>
    <row r="34" spans="1:27" x14ac:dyDescent="0.25">
      <c r="A34" t="s">
        <v>600</v>
      </c>
      <c r="B34" t="s">
        <v>96</v>
      </c>
      <c r="C34" s="301"/>
      <c r="D34" s="419" t="s">
        <v>572</v>
      </c>
      <c r="E34" s="3" t="str">
        <f t="shared" si="0"/>
        <v xml:space="preserve"> </v>
      </c>
      <c r="F34" s="419" t="s">
        <v>572</v>
      </c>
      <c r="G34" s="301"/>
      <c r="H34" s="422" t="s">
        <v>574</v>
      </c>
      <c r="I34" s="3" t="str">
        <f t="shared" si="1"/>
        <v xml:space="preserve"> </v>
      </c>
      <c r="J34" s="422" t="s">
        <v>574</v>
      </c>
      <c r="K34" s="301"/>
      <c r="L34" s="419" t="s">
        <v>572</v>
      </c>
      <c r="M34" s="3" t="str">
        <f t="shared" si="2"/>
        <v xml:space="preserve"> </v>
      </c>
      <c r="N34" s="419" t="s">
        <v>572</v>
      </c>
      <c r="O34" s="301"/>
      <c r="P34" s="419" t="s">
        <v>572</v>
      </c>
      <c r="Q34" s="3" t="str">
        <f t="shared" si="3"/>
        <v xml:space="preserve"> </v>
      </c>
      <c r="R34" s="419" t="s">
        <v>572</v>
      </c>
      <c r="S34" s="301"/>
      <c r="T34" s="121" t="s">
        <v>574</v>
      </c>
      <c r="U34" s="3" t="str">
        <f t="shared" si="4"/>
        <v xml:space="preserve"> </v>
      </c>
      <c r="V34" s="121" t="s">
        <v>574</v>
      </c>
      <c r="W34" s="301"/>
      <c r="X34"/>
      <c r="Y34"/>
      <c r="AA34"/>
    </row>
    <row r="35" spans="1:27" x14ac:dyDescent="0.25">
      <c r="A35" t="s">
        <v>601</v>
      </c>
      <c r="B35" t="s">
        <v>204</v>
      </c>
      <c r="C35" s="301"/>
      <c r="D35" s="419" t="s">
        <v>572</v>
      </c>
      <c r="E35" s="3" t="str">
        <f t="shared" si="0"/>
        <v>→</v>
      </c>
      <c r="F35" s="421" t="s">
        <v>7</v>
      </c>
      <c r="G35" s="301"/>
      <c r="H35" s="422" t="s">
        <v>574</v>
      </c>
      <c r="I35" s="3" t="str">
        <f t="shared" si="1"/>
        <v xml:space="preserve"> </v>
      </c>
      <c r="J35" s="422" t="s">
        <v>574</v>
      </c>
      <c r="K35" s="301"/>
      <c r="L35" s="419" t="s">
        <v>572</v>
      </c>
      <c r="M35" s="3" t="str">
        <f t="shared" si="2"/>
        <v>→</v>
      </c>
      <c r="N35" s="421" t="s">
        <v>7</v>
      </c>
      <c r="O35" s="301"/>
      <c r="P35" s="419" t="s">
        <v>572</v>
      </c>
      <c r="Q35" s="3" t="str">
        <f t="shared" si="3"/>
        <v>→</v>
      </c>
      <c r="R35" s="421" t="s">
        <v>7</v>
      </c>
      <c r="S35" s="301"/>
      <c r="T35" s="420" t="s">
        <v>542</v>
      </c>
      <c r="U35" s="3" t="str">
        <f t="shared" si="4"/>
        <v>→</v>
      </c>
      <c r="V35" s="206" t="s">
        <v>541</v>
      </c>
      <c r="W35" s="301"/>
      <c r="X35"/>
      <c r="Y35"/>
      <c r="AA35"/>
    </row>
    <row r="36" spans="1:27" x14ac:dyDescent="0.25">
      <c r="A36" t="s">
        <v>602</v>
      </c>
      <c r="B36" t="s">
        <v>100</v>
      </c>
      <c r="C36" s="301"/>
      <c r="D36" s="424" t="s">
        <v>7</v>
      </c>
      <c r="E36" s="3" t="str">
        <f t="shared" si="0"/>
        <v xml:space="preserve"> </v>
      </c>
      <c r="F36" s="424" t="s">
        <v>7</v>
      </c>
      <c r="G36" s="301"/>
      <c r="H36" s="424" t="s">
        <v>7</v>
      </c>
      <c r="I36" s="3" t="str">
        <f t="shared" si="1"/>
        <v>→</v>
      </c>
      <c r="J36" s="440" t="s">
        <v>263</v>
      </c>
      <c r="K36" s="301"/>
      <c r="L36" s="424" t="s">
        <v>7</v>
      </c>
      <c r="M36" s="3" t="str">
        <f t="shared" si="2"/>
        <v xml:space="preserve"> </v>
      </c>
      <c r="N36" s="424" t="s">
        <v>7</v>
      </c>
      <c r="O36" s="301"/>
      <c r="P36" s="424" t="s">
        <v>7</v>
      </c>
      <c r="Q36" s="3" t="str">
        <f t="shared" si="3"/>
        <v xml:space="preserve"> </v>
      </c>
      <c r="R36" s="424" t="s">
        <v>7</v>
      </c>
      <c r="S36" s="301"/>
      <c r="T36" s="420" t="s">
        <v>541</v>
      </c>
      <c r="U36" s="3" t="str">
        <f t="shared" si="4"/>
        <v xml:space="preserve"> </v>
      </c>
      <c r="V36" s="420" t="s">
        <v>541</v>
      </c>
      <c r="W36" s="301"/>
      <c r="X36"/>
      <c r="Y36"/>
      <c r="AA36"/>
    </row>
    <row r="37" spans="1:27" x14ac:dyDescent="0.25">
      <c r="A37" t="s">
        <v>603</v>
      </c>
      <c r="B37" t="s">
        <v>102</v>
      </c>
      <c r="C37" s="301"/>
      <c r="D37" s="424" t="s">
        <v>7</v>
      </c>
      <c r="E37" s="3" t="str">
        <f t="shared" si="0"/>
        <v xml:space="preserve"> </v>
      </c>
      <c r="F37" s="424" t="s">
        <v>7</v>
      </c>
      <c r="G37" s="301"/>
      <c r="H37" s="424" t="s">
        <v>7</v>
      </c>
      <c r="I37" s="3" t="str">
        <f t="shared" si="1"/>
        <v xml:space="preserve"> </v>
      </c>
      <c r="J37" s="424" t="s">
        <v>7</v>
      </c>
      <c r="K37" s="301"/>
      <c r="L37" s="424" t="s">
        <v>7</v>
      </c>
      <c r="M37" s="3" t="str">
        <f t="shared" si="2"/>
        <v xml:space="preserve"> </v>
      </c>
      <c r="N37" s="424" t="s">
        <v>7</v>
      </c>
      <c r="O37" s="301"/>
      <c r="P37" s="424" t="s">
        <v>7</v>
      </c>
      <c r="Q37" s="3" t="str">
        <f t="shared" si="3"/>
        <v xml:space="preserve"> </v>
      </c>
      <c r="R37" s="424" t="s">
        <v>7</v>
      </c>
      <c r="S37" s="301"/>
      <c r="T37" s="121" t="s">
        <v>574</v>
      </c>
      <c r="U37" s="3" t="str">
        <f t="shared" si="4"/>
        <v xml:space="preserve"> </v>
      </c>
      <c r="V37" s="121" t="s">
        <v>574</v>
      </c>
      <c r="W37" s="301"/>
      <c r="X37"/>
      <c r="Y37"/>
      <c r="AA37"/>
    </row>
    <row r="38" spans="1:27" x14ac:dyDescent="0.25">
      <c r="A38" t="s">
        <v>604</v>
      </c>
      <c r="B38" t="s">
        <v>104</v>
      </c>
      <c r="C38" s="301"/>
      <c r="D38" s="424" t="s">
        <v>7</v>
      </c>
      <c r="E38" s="3" t="str">
        <f t="shared" si="0"/>
        <v xml:space="preserve"> </v>
      </c>
      <c r="F38" s="424" t="s">
        <v>7</v>
      </c>
      <c r="G38" s="301"/>
      <c r="H38" s="422" t="s">
        <v>574</v>
      </c>
      <c r="I38" s="3" t="str">
        <f t="shared" si="1"/>
        <v xml:space="preserve"> </v>
      </c>
      <c r="J38" s="422" t="s">
        <v>574</v>
      </c>
      <c r="K38" s="301"/>
      <c r="L38" s="424" t="s">
        <v>7</v>
      </c>
      <c r="M38" s="3" t="str">
        <f t="shared" si="2"/>
        <v xml:space="preserve"> </v>
      </c>
      <c r="N38" s="424" t="s">
        <v>7</v>
      </c>
      <c r="O38" s="301"/>
      <c r="P38" s="424" t="s">
        <v>7</v>
      </c>
      <c r="Q38" s="3" t="str">
        <f t="shared" si="3"/>
        <v xml:space="preserve"> </v>
      </c>
      <c r="R38" s="424" t="s">
        <v>7</v>
      </c>
      <c r="S38" s="301"/>
      <c r="T38" s="121" t="s">
        <v>574</v>
      </c>
      <c r="U38" s="3" t="str">
        <f t="shared" si="4"/>
        <v xml:space="preserve"> </v>
      </c>
      <c r="V38" s="121" t="s">
        <v>574</v>
      </c>
      <c r="W38" s="301"/>
      <c r="X38"/>
      <c r="Y38"/>
      <c r="AA38"/>
    </row>
    <row r="39" spans="1:27" x14ac:dyDescent="0.25">
      <c r="A39" t="s">
        <v>605</v>
      </c>
      <c r="B39" t="s">
        <v>269</v>
      </c>
      <c r="C39" s="301"/>
      <c r="D39" s="424" t="s">
        <v>7</v>
      </c>
      <c r="E39" s="3" t="str">
        <f t="shared" si="0"/>
        <v xml:space="preserve"> </v>
      </c>
      <c r="F39" s="424" t="s">
        <v>7</v>
      </c>
      <c r="G39" s="301"/>
      <c r="H39" s="424" t="s">
        <v>7</v>
      </c>
      <c r="I39" s="3" t="str">
        <f t="shared" si="1"/>
        <v xml:space="preserve"> </v>
      </c>
      <c r="J39" s="424" t="s">
        <v>7</v>
      </c>
      <c r="K39" s="301"/>
      <c r="L39" s="424" t="s">
        <v>7</v>
      </c>
      <c r="M39" s="3" t="str">
        <f t="shared" si="2"/>
        <v xml:space="preserve"> </v>
      </c>
      <c r="N39" s="424" t="s">
        <v>7</v>
      </c>
      <c r="O39" s="301"/>
      <c r="P39" s="424" t="s">
        <v>7</v>
      </c>
      <c r="Q39" s="3" t="str">
        <f t="shared" si="3"/>
        <v xml:space="preserve"> </v>
      </c>
      <c r="R39" s="424" t="s">
        <v>7</v>
      </c>
      <c r="S39" s="301"/>
      <c r="T39" s="420" t="s">
        <v>542</v>
      </c>
      <c r="U39" s="3" t="str">
        <f t="shared" si="4"/>
        <v>→</v>
      </c>
      <c r="V39" s="206" t="s">
        <v>541</v>
      </c>
      <c r="W39" s="301"/>
      <c r="X39"/>
      <c r="Y39"/>
      <c r="AA39"/>
    </row>
    <row r="40" spans="1:27" x14ac:dyDescent="0.25">
      <c r="A40" t="s">
        <v>606</v>
      </c>
      <c r="B40" t="s">
        <v>108</v>
      </c>
      <c r="C40" s="301"/>
      <c r="D40" s="424" t="s">
        <v>7</v>
      </c>
      <c r="E40" s="3" t="str">
        <f t="shared" si="0"/>
        <v xml:space="preserve"> </v>
      </c>
      <c r="F40" s="424" t="s">
        <v>7</v>
      </c>
      <c r="G40" s="301"/>
      <c r="H40" s="422" t="s">
        <v>574</v>
      </c>
      <c r="I40" s="3" t="str">
        <f t="shared" si="1"/>
        <v xml:space="preserve"> </v>
      </c>
      <c r="J40" s="422" t="s">
        <v>574</v>
      </c>
      <c r="K40" s="301"/>
      <c r="L40" s="424" t="s">
        <v>7</v>
      </c>
      <c r="M40" s="3" t="str">
        <f t="shared" si="2"/>
        <v xml:space="preserve"> </v>
      </c>
      <c r="N40" s="424" t="s">
        <v>7</v>
      </c>
      <c r="O40" s="301"/>
      <c r="P40" s="424" t="s">
        <v>7</v>
      </c>
      <c r="Q40" s="3" t="str">
        <f t="shared" si="3"/>
        <v xml:space="preserve"> </v>
      </c>
      <c r="R40" s="424" t="s">
        <v>7</v>
      </c>
      <c r="S40" s="301"/>
      <c r="T40" s="121" t="s">
        <v>574</v>
      </c>
      <c r="U40" s="3" t="str">
        <f t="shared" si="4"/>
        <v xml:space="preserve"> </v>
      </c>
      <c r="V40" s="121" t="s">
        <v>574</v>
      </c>
      <c r="W40" s="301"/>
      <c r="X40"/>
      <c r="Y40"/>
      <c r="AA40"/>
    </row>
    <row r="41" spans="1:27" x14ac:dyDescent="0.25">
      <c r="A41" t="s">
        <v>607</v>
      </c>
      <c r="B41" t="s">
        <v>110</v>
      </c>
      <c r="C41" s="301"/>
      <c r="D41" s="419" t="s">
        <v>572</v>
      </c>
      <c r="E41" s="3" t="str">
        <f t="shared" si="0"/>
        <v>→</v>
      </c>
      <c r="F41" s="421" t="s">
        <v>7</v>
      </c>
      <c r="G41" s="301"/>
      <c r="H41" s="422" t="s">
        <v>574</v>
      </c>
      <c r="I41" s="3" t="str">
        <f t="shared" si="1"/>
        <v xml:space="preserve"> </v>
      </c>
      <c r="J41" s="422" t="s">
        <v>574</v>
      </c>
      <c r="K41" s="301"/>
      <c r="L41" s="424" t="s">
        <v>7</v>
      </c>
      <c r="M41" s="3" t="str">
        <f t="shared" si="2"/>
        <v xml:space="preserve"> </v>
      </c>
      <c r="N41" s="431" t="s">
        <v>7</v>
      </c>
      <c r="O41" s="301"/>
      <c r="P41" s="419" t="s">
        <v>572</v>
      </c>
      <c r="Q41" s="3" t="str">
        <f t="shared" si="3"/>
        <v>→</v>
      </c>
      <c r="R41" s="421" t="s">
        <v>7</v>
      </c>
      <c r="S41" s="301"/>
      <c r="T41" s="121" t="s">
        <v>574</v>
      </c>
      <c r="U41" s="3" t="str">
        <f t="shared" si="4"/>
        <v xml:space="preserve"> </v>
      </c>
      <c r="V41" s="121" t="s">
        <v>574</v>
      </c>
      <c r="W41" s="301"/>
      <c r="X41"/>
      <c r="Y41"/>
      <c r="AA41"/>
    </row>
    <row r="42" spans="1:27" x14ac:dyDescent="0.25">
      <c r="A42" t="s">
        <v>608</v>
      </c>
      <c r="B42" t="s">
        <v>112</v>
      </c>
      <c r="C42" s="301"/>
      <c r="D42" s="424" t="s">
        <v>7</v>
      </c>
      <c r="E42" s="3" t="str">
        <f t="shared" si="0"/>
        <v xml:space="preserve"> </v>
      </c>
      <c r="F42" s="424" t="s">
        <v>7</v>
      </c>
      <c r="G42" s="301"/>
      <c r="H42" s="424" t="s">
        <v>7</v>
      </c>
      <c r="I42" s="3" t="str">
        <f t="shared" si="1"/>
        <v xml:space="preserve"> </v>
      </c>
      <c r="J42" s="424" t="s">
        <v>7</v>
      </c>
      <c r="K42" s="301"/>
      <c r="L42" s="424" t="s">
        <v>7</v>
      </c>
      <c r="M42" s="3" t="str">
        <f t="shared" si="2"/>
        <v xml:space="preserve"> </v>
      </c>
      <c r="N42" s="424" t="s">
        <v>7</v>
      </c>
      <c r="O42" s="301"/>
      <c r="P42" s="424" t="s">
        <v>7</v>
      </c>
      <c r="Q42" s="3" t="str">
        <f t="shared" si="3"/>
        <v xml:space="preserve"> </v>
      </c>
      <c r="R42" s="424" t="s">
        <v>7</v>
      </c>
      <c r="S42" s="301"/>
      <c r="T42" s="420" t="s">
        <v>542</v>
      </c>
      <c r="U42" s="3" t="str">
        <f t="shared" si="4"/>
        <v>→</v>
      </c>
      <c r="V42" s="206" t="s">
        <v>541</v>
      </c>
      <c r="W42" s="301"/>
      <c r="X42"/>
      <c r="Y42"/>
      <c r="AA42"/>
    </row>
    <row r="43" spans="1:27" x14ac:dyDescent="0.25">
      <c r="A43" t="s">
        <v>609</v>
      </c>
      <c r="B43" t="s">
        <v>114</v>
      </c>
      <c r="C43" s="301"/>
      <c r="D43" s="424" t="s">
        <v>7</v>
      </c>
      <c r="E43" s="3" t="str">
        <f t="shared" si="0"/>
        <v xml:space="preserve"> </v>
      </c>
      <c r="F43" s="424" t="s">
        <v>7</v>
      </c>
      <c r="G43" s="301"/>
      <c r="H43" s="424" t="s">
        <v>7</v>
      </c>
      <c r="I43" s="3" t="str">
        <f t="shared" si="1"/>
        <v xml:space="preserve"> </v>
      </c>
      <c r="J43" s="424" t="s">
        <v>7</v>
      </c>
      <c r="K43" s="301"/>
      <c r="L43" s="424" t="s">
        <v>7</v>
      </c>
      <c r="M43" s="3" t="str">
        <f t="shared" si="2"/>
        <v xml:space="preserve"> </v>
      </c>
      <c r="N43" s="424" t="s">
        <v>7</v>
      </c>
      <c r="O43" s="301"/>
      <c r="P43" s="424" t="s">
        <v>7</v>
      </c>
      <c r="Q43" s="3" t="str">
        <f t="shared" si="3"/>
        <v xml:space="preserve"> </v>
      </c>
      <c r="R43" s="424" t="s">
        <v>7</v>
      </c>
      <c r="S43" s="301"/>
      <c r="T43" s="422" t="s">
        <v>574</v>
      </c>
      <c r="U43" s="3" t="str">
        <f t="shared" si="4"/>
        <v xml:space="preserve"> </v>
      </c>
      <c r="V43" s="422" t="s">
        <v>574</v>
      </c>
      <c r="W43" s="301"/>
      <c r="X43"/>
      <c r="Y43"/>
      <c r="AA43"/>
    </row>
    <row r="44" spans="1:27" x14ac:dyDescent="0.25">
      <c r="A44" t="s">
        <v>610</v>
      </c>
      <c r="B44" t="s">
        <v>116</v>
      </c>
      <c r="C44" s="301"/>
      <c r="D44" s="423" t="s">
        <v>17</v>
      </c>
      <c r="E44" s="3" t="str">
        <f t="shared" si="0"/>
        <v xml:space="preserve"> </v>
      </c>
      <c r="F44" s="423" t="s">
        <v>17</v>
      </c>
      <c r="G44" s="301"/>
      <c r="H44" s="422" t="s">
        <v>574</v>
      </c>
      <c r="I44" s="3" t="str">
        <f t="shared" si="1"/>
        <v xml:space="preserve"> </v>
      </c>
      <c r="J44" s="422" t="s">
        <v>574</v>
      </c>
      <c r="K44" s="301"/>
      <c r="L44" s="423" t="s">
        <v>17</v>
      </c>
      <c r="M44" s="3" t="str">
        <f t="shared" si="2"/>
        <v xml:space="preserve"> </v>
      </c>
      <c r="N44" s="423" t="s">
        <v>17</v>
      </c>
      <c r="O44" s="301"/>
      <c r="P44" s="423" t="s">
        <v>17</v>
      </c>
      <c r="Q44" s="3" t="str">
        <f t="shared" si="3"/>
        <v xml:space="preserve"> </v>
      </c>
      <c r="R44" s="423" t="s">
        <v>17</v>
      </c>
      <c r="S44" s="301"/>
      <c r="T44" s="420" t="s">
        <v>542</v>
      </c>
      <c r="U44" s="3" t="str">
        <f t="shared" si="4"/>
        <v>→</v>
      </c>
      <c r="V44" s="206" t="s">
        <v>541</v>
      </c>
      <c r="W44" s="301"/>
      <c r="X44"/>
      <c r="Y44"/>
      <c r="AA44"/>
    </row>
    <row r="45" spans="1:27" x14ac:dyDescent="0.25">
      <c r="A45" t="s">
        <v>611</v>
      </c>
      <c r="B45" t="s">
        <v>118</v>
      </c>
      <c r="C45" s="301"/>
      <c r="D45" s="424" t="s">
        <v>7</v>
      </c>
      <c r="E45" s="3" t="str">
        <f t="shared" si="0"/>
        <v xml:space="preserve"> </v>
      </c>
      <c r="F45" s="424" t="s">
        <v>7</v>
      </c>
      <c r="G45" s="301"/>
      <c r="H45" s="424" t="s">
        <v>7</v>
      </c>
      <c r="I45" s="3" t="str">
        <f t="shared" si="1"/>
        <v xml:space="preserve"> </v>
      </c>
      <c r="J45" s="424" t="s">
        <v>7</v>
      </c>
      <c r="K45" s="301"/>
      <c r="L45" s="424" t="s">
        <v>7</v>
      </c>
      <c r="M45" s="3" t="str">
        <f t="shared" si="2"/>
        <v xml:space="preserve"> </v>
      </c>
      <c r="N45" s="424" t="s">
        <v>7</v>
      </c>
      <c r="O45" s="301"/>
      <c r="P45" s="424" t="s">
        <v>7</v>
      </c>
      <c r="Q45" s="3" t="str">
        <f t="shared" si="3"/>
        <v xml:space="preserve"> </v>
      </c>
      <c r="R45" s="424" t="s">
        <v>7</v>
      </c>
      <c r="S45" s="301"/>
      <c r="T45" s="422" t="s">
        <v>574</v>
      </c>
      <c r="U45" s="3" t="str">
        <f t="shared" si="4"/>
        <v xml:space="preserve"> </v>
      </c>
      <c r="V45" s="422" t="s">
        <v>574</v>
      </c>
      <c r="W45" s="301"/>
      <c r="X45"/>
      <c r="Y45"/>
      <c r="AA45"/>
    </row>
    <row r="46" spans="1:27" x14ac:dyDescent="0.25">
      <c r="A46" t="s">
        <v>612</v>
      </c>
      <c r="B46" t="s">
        <v>120</v>
      </c>
      <c r="C46" s="301"/>
      <c r="D46" s="427" t="s">
        <v>7</v>
      </c>
      <c r="E46" s="3" t="str">
        <f t="shared" si="0"/>
        <v xml:space="preserve"> </v>
      </c>
      <c r="F46" s="427" t="s">
        <v>7</v>
      </c>
      <c r="G46" s="301"/>
      <c r="H46" s="427" t="s">
        <v>7</v>
      </c>
      <c r="I46" s="3" t="str">
        <f t="shared" si="1"/>
        <v xml:space="preserve"> </v>
      </c>
      <c r="J46" s="427" t="s">
        <v>7</v>
      </c>
      <c r="K46" s="301"/>
      <c r="L46" s="427" t="s">
        <v>7</v>
      </c>
      <c r="M46" s="3" t="str">
        <f t="shared" si="2"/>
        <v xml:space="preserve"> </v>
      </c>
      <c r="N46" s="427" t="s">
        <v>7</v>
      </c>
      <c r="O46" s="301"/>
      <c r="P46" s="427" t="s">
        <v>7</v>
      </c>
      <c r="Q46" s="3" t="str">
        <f t="shared" si="3"/>
        <v xml:space="preserve"> </v>
      </c>
      <c r="R46" s="427" t="s">
        <v>7</v>
      </c>
      <c r="S46" s="301"/>
      <c r="T46" s="420" t="s">
        <v>541</v>
      </c>
      <c r="U46" s="3" t="str">
        <f t="shared" si="4"/>
        <v>→</v>
      </c>
      <c r="V46" s="206" t="s">
        <v>542</v>
      </c>
      <c r="W46" s="302"/>
      <c r="X46"/>
      <c r="Y46"/>
      <c r="AA46"/>
    </row>
    <row r="47" spans="1:27" x14ac:dyDescent="0.25">
      <c r="A47" t="s">
        <v>613</v>
      </c>
      <c r="B47" t="s">
        <v>122</v>
      </c>
      <c r="C47" s="301"/>
      <c r="D47" s="424" t="s">
        <v>7</v>
      </c>
      <c r="E47" s="3" t="str">
        <f t="shared" si="0"/>
        <v xml:space="preserve"> </v>
      </c>
      <c r="F47" s="424" t="s">
        <v>7</v>
      </c>
      <c r="G47" s="301"/>
      <c r="H47" s="424" t="s">
        <v>7</v>
      </c>
      <c r="I47" s="3" t="str">
        <f t="shared" si="1"/>
        <v xml:space="preserve"> </v>
      </c>
      <c r="J47" s="424" t="s">
        <v>7</v>
      </c>
      <c r="K47" s="301"/>
      <c r="L47" s="424" t="s">
        <v>7</v>
      </c>
      <c r="M47" s="3" t="str">
        <f t="shared" si="2"/>
        <v xml:space="preserve"> </v>
      </c>
      <c r="N47" s="424" t="s">
        <v>7</v>
      </c>
      <c r="O47" s="301"/>
      <c r="P47" s="424" t="s">
        <v>7</v>
      </c>
      <c r="Q47" s="3" t="str">
        <f t="shared" si="3"/>
        <v xml:space="preserve"> </v>
      </c>
      <c r="R47" s="424" t="s">
        <v>7</v>
      </c>
      <c r="S47" s="301"/>
      <c r="T47" s="422" t="s">
        <v>574</v>
      </c>
      <c r="U47" s="3" t="str">
        <f t="shared" si="4"/>
        <v xml:space="preserve"> </v>
      </c>
      <c r="V47" s="422" t="s">
        <v>574</v>
      </c>
      <c r="W47" s="301"/>
      <c r="X47"/>
      <c r="Y47"/>
      <c r="AA47"/>
    </row>
    <row r="48" spans="1:27" x14ac:dyDescent="0.25">
      <c r="A48" t="s">
        <v>614</v>
      </c>
      <c r="B48" t="s">
        <v>615</v>
      </c>
      <c r="C48" s="301"/>
      <c r="D48" s="422" t="s">
        <v>574</v>
      </c>
      <c r="E48" s="3" t="str">
        <f t="shared" si="0"/>
        <v xml:space="preserve"> </v>
      </c>
      <c r="F48" s="422" t="s">
        <v>574</v>
      </c>
      <c r="G48" s="301"/>
      <c r="H48" s="422" t="s">
        <v>574</v>
      </c>
      <c r="I48" s="3" t="str">
        <f t="shared" si="1"/>
        <v xml:space="preserve"> </v>
      </c>
      <c r="J48" s="422" t="s">
        <v>574</v>
      </c>
      <c r="K48" s="301"/>
      <c r="L48" s="422" t="s">
        <v>574</v>
      </c>
      <c r="M48" s="3" t="str">
        <f t="shared" si="2"/>
        <v xml:space="preserve"> </v>
      </c>
      <c r="N48" s="422" t="s">
        <v>574</v>
      </c>
      <c r="O48" s="301"/>
      <c r="P48" s="422" t="s">
        <v>574</v>
      </c>
      <c r="Q48" s="3" t="str">
        <f t="shared" si="3"/>
        <v xml:space="preserve"> </v>
      </c>
      <c r="R48" s="422" t="s">
        <v>574</v>
      </c>
      <c r="S48" s="301"/>
      <c r="T48" s="420" t="s">
        <v>542</v>
      </c>
      <c r="U48" s="3" t="str">
        <f t="shared" si="4"/>
        <v>→</v>
      </c>
      <c r="V48" s="206" t="s">
        <v>541</v>
      </c>
      <c r="W48" s="301"/>
      <c r="X48"/>
      <c r="Y48"/>
      <c r="AA48"/>
    </row>
    <row r="49" spans="1:27" x14ac:dyDescent="0.25">
      <c r="A49" t="s">
        <v>616</v>
      </c>
      <c r="B49" t="s">
        <v>25</v>
      </c>
      <c r="C49" s="301"/>
      <c r="D49" s="422" t="s">
        <v>574</v>
      </c>
      <c r="E49" s="3" t="str">
        <f t="shared" si="0"/>
        <v xml:space="preserve"> </v>
      </c>
      <c r="F49" s="422" t="s">
        <v>574</v>
      </c>
      <c r="G49" s="301"/>
      <c r="H49" s="422" t="s">
        <v>574</v>
      </c>
      <c r="I49" s="3" t="str">
        <f t="shared" si="1"/>
        <v xml:space="preserve"> </v>
      </c>
      <c r="J49" s="422" t="s">
        <v>574</v>
      </c>
      <c r="K49" s="301"/>
      <c r="L49" s="422" t="s">
        <v>574</v>
      </c>
      <c r="M49" s="3" t="str">
        <f t="shared" si="2"/>
        <v xml:space="preserve"> </v>
      </c>
      <c r="N49" s="422" t="s">
        <v>574</v>
      </c>
      <c r="O49" s="301"/>
      <c r="P49" s="422" t="s">
        <v>574</v>
      </c>
      <c r="Q49" s="3" t="str">
        <f t="shared" si="3"/>
        <v xml:space="preserve"> </v>
      </c>
      <c r="R49" s="422" t="s">
        <v>574</v>
      </c>
      <c r="S49" s="301"/>
      <c r="T49" s="420" t="s">
        <v>542</v>
      </c>
      <c r="U49" s="3" t="str">
        <f t="shared" si="4"/>
        <v>→</v>
      </c>
      <c r="V49" s="206" t="s">
        <v>541</v>
      </c>
      <c r="W49" s="301"/>
      <c r="X49"/>
      <c r="Y49"/>
      <c r="AA49"/>
    </row>
    <row r="50" spans="1:27" x14ac:dyDescent="0.25">
      <c r="A50" t="s">
        <v>617</v>
      </c>
      <c r="B50" t="s">
        <v>618</v>
      </c>
      <c r="C50" s="301"/>
      <c r="D50" s="422" t="s">
        <v>574</v>
      </c>
      <c r="E50" s="3" t="str">
        <f t="shared" si="0"/>
        <v xml:space="preserve"> </v>
      </c>
      <c r="F50" s="422" t="s">
        <v>574</v>
      </c>
      <c r="G50" s="301"/>
      <c r="H50" s="422" t="s">
        <v>574</v>
      </c>
      <c r="I50" s="3" t="str">
        <f t="shared" si="1"/>
        <v xml:space="preserve"> </v>
      </c>
      <c r="J50" s="422" t="s">
        <v>574</v>
      </c>
      <c r="K50" s="301"/>
      <c r="L50" s="422" t="s">
        <v>574</v>
      </c>
      <c r="M50" s="3" t="str">
        <f t="shared" si="2"/>
        <v xml:space="preserve"> </v>
      </c>
      <c r="N50" s="422" t="s">
        <v>574</v>
      </c>
      <c r="O50" s="301"/>
      <c r="P50" s="422" t="s">
        <v>574</v>
      </c>
      <c r="Q50" s="3" t="str">
        <f t="shared" si="3"/>
        <v xml:space="preserve"> </v>
      </c>
      <c r="R50" s="422" t="s">
        <v>574</v>
      </c>
      <c r="S50" s="301"/>
      <c r="T50" s="420" t="s">
        <v>542</v>
      </c>
      <c r="U50" s="3" t="str">
        <f t="shared" si="4"/>
        <v>→</v>
      </c>
      <c r="V50" s="206" t="s">
        <v>541</v>
      </c>
      <c r="W50" s="301"/>
      <c r="X50"/>
      <c r="Y50"/>
      <c r="AA50"/>
    </row>
    <row r="51" spans="1:27" x14ac:dyDescent="0.25">
      <c r="A51" t="s">
        <v>619</v>
      </c>
      <c r="B51" t="s">
        <v>297</v>
      </c>
      <c r="C51" s="301"/>
      <c r="D51" s="422" t="s">
        <v>574</v>
      </c>
      <c r="E51" s="3" t="str">
        <f t="shared" si="0"/>
        <v xml:space="preserve"> </v>
      </c>
      <c r="F51" s="422" t="s">
        <v>574</v>
      </c>
      <c r="G51" s="301"/>
      <c r="H51" s="422" t="s">
        <v>574</v>
      </c>
      <c r="I51" s="3" t="str">
        <f t="shared" si="1"/>
        <v xml:space="preserve"> </v>
      </c>
      <c r="J51" s="422" t="s">
        <v>574</v>
      </c>
      <c r="K51" s="301"/>
      <c r="L51" s="422" t="s">
        <v>574</v>
      </c>
      <c r="M51" s="3" t="str">
        <f t="shared" si="2"/>
        <v xml:space="preserve"> </v>
      </c>
      <c r="N51" s="422" t="s">
        <v>574</v>
      </c>
      <c r="O51" s="301"/>
      <c r="P51" s="422" t="s">
        <v>574</v>
      </c>
      <c r="Q51" s="3" t="str">
        <f t="shared" si="3"/>
        <v xml:space="preserve"> </v>
      </c>
      <c r="R51" s="422" t="s">
        <v>574</v>
      </c>
      <c r="S51" s="301"/>
      <c r="T51" s="422" t="s">
        <v>574</v>
      </c>
      <c r="U51" s="3" t="str">
        <f t="shared" si="4"/>
        <v xml:space="preserve"> </v>
      </c>
      <c r="V51" s="422" t="s">
        <v>574</v>
      </c>
      <c r="W51" s="301"/>
      <c r="X51"/>
      <c r="Y51"/>
      <c r="AA51"/>
    </row>
    <row r="52" spans="1:27" x14ac:dyDescent="0.25">
      <c r="A52" t="s">
        <v>620</v>
      </c>
      <c r="B52" t="s">
        <v>299</v>
      </c>
      <c r="C52" s="301"/>
      <c r="D52" s="422" t="s">
        <v>574</v>
      </c>
      <c r="E52" s="3" t="str">
        <f t="shared" si="0"/>
        <v xml:space="preserve"> </v>
      </c>
      <c r="F52" s="422" t="s">
        <v>574</v>
      </c>
      <c r="G52" s="301"/>
      <c r="H52" s="422" t="s">
        <v>574</v>
      </c>
      <c r="I52" s="3" t="str">
        <f t="shared" si="1"/>
        <v xml:space="preserve"> </v>
      </c>
      <c r="J52" s="422" t="s">
        <v>574</v>
      </c>
      <c r="K52" s="301"/>
      <c r="L52" s="422" t="s">
        <v>574</v>
      </c>
      <c r="M52" s="3" t="str">
        <f t="shared" si="2"/>
        <v xml:space="preserve"> </v>
      </c>
      <c r="N52" s="422" t="s">
        <v>574</v>
      </c>
      <c r="O52" s="301"/>
      <c r="P52" s="422" t="s">
        <v>574</v>
      </c>
      <c r="Q52" s="3" t="str">
        <f t="shared" si="3"/>
        <v xml:space="preserve"> </v>
      </c>
      <c r="R52" s="422" t="s">
        <v>574</v>
      </c>
      <c r="S52" s="301"/>
      <c r="T52" s="422" t="s">
        <v>574</v>
      </c>
      <c r="U52" s="3" t="str">
        <f t="shared" si="4"/>
        <v xml:space="preserve"> </v>
      </c>
      <c r="V52" s="422" t="s">
        <v>574</v>
      </c>
      <c r="W52" s="301"/>
      <c r="X52"/>
      <c r="Y52"/>
      <c r="AA52"/>
    </row>
    <row r="53" spans="1:27" x14ac:dyDescent="0.25">
      <c r="A53" t="s">
        <v>621</v>
      </c>
      <c r="B53" t="s">
        <v>622</v>
      </c>
      <c r="C53" s="301"/>
      <c r="D53" s="424" t="s">
        <v>8</v>
      </c>
      <c r="E53" s="3" t="str">
        <f t="shared" si="0"/>
        <v xml:space="preserve"> </v>
      </c>
      <c r="F53" s="424" t="s">
        <v>8</v>
      </c>
      <c r="G53" s="301"/>
      <c r="H53" s="422" t="s">
        <v>574</v>
      </c>
      <c r="I53" s="3" t="str">
        <f t="shared" si="1"/>
        <v xml:space="preserve"> </v>
      </c>
      <c r="J53" s="422" t="s">
        <v>574</v>
      </c>
      <c r="K53" s="301"/>
      <c r="L53" s="424" t="s">
        <v>9</v>
      </c>
      <c r="M53" s="3" t="str">
        <f t="shared" si="2"/>
        <v xml:space="preserve"> </v>
      </c>
      <c r="N53" s="424" t="s">
        <v>9</v>
      </c>
      <c r="O53" s="301"/>
      <c r="P53" s="424" t="s">
        <v>8</v>
      </c>
      <c r="Q53" s="3" t="str">
        <f t="shared" si="3"/>
        <v xml:space="preserve"> </v>
      </c>
      <c r="R53" s="424" t="s">
        <v>8</v>
      </c>
      <c r="S53" s="301"/>
      <c r="T53" s="422" t="s">
        <v>574</v>
      </c>
      <c r="U53" s="3" t="str">
        <f t="shared" si="4"/>
        <v xml:space="preserve"> </v>
      </c>
      <c r="V53" s="422" t="s">
        <v>574</v>
      </c>
      <c r="W53" s="301"/>
      <c r="X53"/>
      <c r="Y53"/>
      <c r="AA53"/>
    </row>
    <row r="54" spans="1:27" x14ac:dyDescent="0.25">
      <c r="A54" t="s">
        <v>623</v>
      </c>
      <c r="B54" t="s">
        <v>624</v>
      </c>
      <c r="C54" s="301"/>
      <c r="D54" s="424" t="s">
        <v>7</v>
      </c>
      <c r="E54" s="3" t="str">
        <f t="shared" si="0"/>
        <v xml:space="preserve"> </v>
      </c>
      <c r="F54" s="424" t="s">
        <v>7</v>
      </c>
      <c r="G54" s="301"/>
      <c r="H54" s="422" t="s">
        <v>574</v>
      </c>
      <c r="I54" s="3" t="str">
        <f t="shared" si="1"/>
        <v xml:space="preserve"> </v>
      </c>
      <c r="J54" s="422" t="s">
        <v>574</v>
      </c>
      <c r="K54" s="301"/>
      <c r="L54" s="424" t="s">
        <v>7</v>
      </c>
      <c r="M54" s="3" t="str">
        <f t="shared" si="2"/>
        <v xml:space="preserve"> </v>
      </c>
      <c r="N54" s="424" t="s">
        <v>7</v>
      </c>
      <c r="O54" s="301"/>
      <c r="P54" s="424" t="s">
        <v>7</v>
      </c>
      <c r="Q54" s="3" t="str">
        <f t="shared" si="3"/>
        <v xml:space="preserve"> </v>
      </c>
      <c r="R54" s="424" t="s">
        <v>7</v>
      </c>
      <c r="S54" s="301"/>
      <c r="T54" s="422" t="s">
        <v>574</v>
      </c>
      <c r="U54" s="3" t="str">
        <f t="shared" si="4"/>
        <v xml:space="preserve"> </v>
      </c>
      <c r="V54" s="422" t="s">
        <v>574</v>
      </c>
      <c r="W54" s="301"/>
      <c r="X54"/>
      <c r="Y54"/>
      <c r="AA54"/>
    </row>
    <row r="55" spans="1:27" x14ac:dyDescent="0.25">
      <c r="A55" t="s">
        <v>625</v>
      </c>
      <c r="B55" t="s">
        <v>128</v>
      </c>
      <c r="C55" s="301"/>
      <c r="D55" s="424" t="s">
        <v>7</v>
      </c>
      <c r="E55" s="3" t="str">
        <f t="shared" si="0"/>
        <v xml:space="preserve"> </v>
      </c>
      <c r="F55" s="424" t="s">
        <v>7</v>
      </c>
      <c r="G55" s="301"/>
      <c r="H55" s="422" t="s">
        <v>574</v>
      </c>
      <c r="I55" s="3" t="str">
        <f t="shared" si="1"/>
        <v xml:space="preserve"> </v>
      </c>
      <c r="J55" s="422" t="s">
        <v>574</v>
      </c>
      <c r="K55" s="301"/>
      <c r="L55" s="424" t="s">
        <v>7</v>
      </c>
      <c r="M55" s="3" t="str">
        <f t="shared" si="2"/>
        <v xml:space="preserve"> </v>
      </c>
      <c r="N55" s="424" t="s">
        <v>7</v>
      </c>
      <c r="O55" s="301"/>
      <c r="P55" s="424" t="s">
        <v>7</v>
      </c>
      <c r="Q55" s="3" t="str">
        <f t="shared" si="3"/>
        <v xml:space="preserve"> </v>
      </c>
      <c r="R55" s="424" t="s">
        <v>7</v>
      </c>
      <c r="S55" s="301"/>
      <c r="T55" s="422" t="s">
        <v>574</v>
      </c>
      <c r="U55" s="3" t="str">
        <f t="shared" si="4"/>
        <v xml:space="preserve"> </v>
      </c>
      <c r="V55" s="422" t="s">
        <v>574</v>
      </c>
      <c r="W55" s="301"/>
      <c r="X55"/>
      <c r="Y55"/>
      <c r="AA55"/>
    </row>
    <row r="56" spans="1:27" x14ac:dyDescent="0.25">
      <c r="A56" t="s">
        <v>626</v>
      </c>
      <c r="B56" t="s">
        <v>383</v>
      </c>
      <c r="C56" s="301"/>
      <c r="D56" s="424" t="s">
        <v>8</v>
      </c>
      <c r="E56" s="3" t="str">
        <f t="shared" si="0"/>
        <v xml:space="preserve"> </v>
      </c>
      <c r="F56" s="424" t="s">
        <v>8</v>
      </c>
      <c r="G56" s="301"/>
      <c r="H56" s="422" t="s">
        <v>574</v>
      </c>
      <c r="I56" s="3" t="str">
        <f t="shared" si="1"/>
        <v xml:space="preserve"> </v>
      </c>
      <c r="J56" s="422" t="s">
        <v>574</v>
      </c>
      <c r="K56" s="301"/>
      <c r="L56" s="422" t="s">
        <v>574</v>
      </c>
      <c r="M56" s="3" t="str">
        <f t="shared" si="2"/>
        <v xml:space="preserve"> </v>
      </c>
      <c r="N56" s="422" t="s">
        <v>574</v>
      </c>
      <c r="O56" s="301"/>
      <c r="P56" s="424" t="s">
        <v>8</v>
      </c>
      <c r="Q56" s="3" t="str">
        <f t="shared" si="3"/>
        <v xml:space="preserve"> </v>
      </c>
      <c r="R56" s="424" t="s">
        <v>8</v>
      </c>
      <c r="S56" s="301"/>
      <c r="T56" s="422" t="s">
        <v>574</v>
      </c>
      <c r="U56" s="3" t="str">
        <f t="shared" si="4"/>
        <v xml:space="preserve"> </v>
      </c>
      <c r="V56" s="422" t="s">
        <v>574</v>
      </c>
      <c r="W56" s="301"/>
      <c r="X56"/>
      <c r="Y56"/>
      <c r="AA56"/>
    </row>
    <row r="57" spans="1:27" x14ac:dyDescent="0.25">
      <c r="A57" t="s">
        <v>627</v>
      </c>
      <c r="B57" t="s">
        <v>628</v>
      </c>
      <c r="C57" s="301"/>
      <c r="D57" s="424" t="s">
        <v>8</v>
      </c>
      <c r="E57" s="3" t="str">
        <f t="shared" si="0"/>
        <v xml:space="preserve"> </v>
      </c>
      <c r="F57" s="424" t="s">
        <v>8</v>
      </c>
      <c r="G57" s="301"/>
      <c r="H57" s="422" t="s">
        <v>574</v>
      </c>
      <c r="I57" s="3" t="str">
        <f t="shared" si="1"/>
        <v xml:space="preserve"> </v>
      </c>
      <c r="J57" s="422" t="s">
        <v>574</v>
      </c>
      <c r="K57" s="301"/>
      <c r="L57" s="424" t="s">
        <v>9</v>
      </c>
      <c r="M57" s="3" t="str">
        <f t="shared" si="2"/>
        <v xml:space="preserve"> </v>
      </c>
      <c r="N57" s="424" t="s">
        <v>9</v>
      </c>
      <c r="O57" s="301"/>
      <c r="P57" s="424" t="s">
        <v>8</v>
      </c>
      <c r="Q57" s="3" t="str">
        <f t="shared" si="3"/>
        <v xml:space="preserve"> </v>
      </c>
      <c r="R57" s="424" t="s">
        <v>8</v>
      </c>
      <c r="S57" s="301"/>
      <c r="T57" s="422" t="s">
        <v>574</v>
      </c>
      <c r="U57" s="3" t="str">
        <f t="shared" si="4"/>
        <v xml:space="preserve"> </v>
      </c>
      <c r="V57" s="422" t="s">
        <v>574</v>
      </c>
      <c r="W57" s="301"/>
      <c r="X57"/>
      <c r="Y57"/>
      <c r="AA57"/>
    </row>
    <row r="58" spans="1:27" x14ac:dyDescent="0.25">
      <c r="A58" t="s">
        <v>629</v>
      </c>
      <c r="B58" t="s">
        <v>303</v>
      </c>
      <c r="C58" s="301"/>
      <c r="D58" s="424" t="s">
        <v>8</v>
      </c>
      <c r="E58" s="3" t="str">
        <f t="shared" si="0"/>
        <v xml:space="preserve"> </v>
      </c>
      <c r="F58" s="424" t="s">
        <v>8</v>
      </c>
      <c r="G58" s="301"/>
      <c r="H58" s="422" t="s">
        <v>574</v>
      </c>
      <c r="I58" s="3" t="str">
        <f t="shared" si="1"/>
        <v xml:space="preserve"> </v>
      </c>
      <c r="J58" s="422" t="s">
        <v>574</v>
      </c>
      <c r="K58" s="301"/>
      <c r="L58" s="424" t="s">
        <v>9</v>
      </c>
      <c r="M58" s="3" t="str">
        <f t="shared" si="2"/>
        <v xml:space="preserve"> </v>
      </c>
      <c r="N58" s="424" t="s">
        <v>9</v>
      </c>
      <c r="O58" s="301"/>
      <c r="P58" s="424" t="s">
        <v>8</v>
      </c>
      <c r="Q58" s="3" t="str">
        <f t="shared" si="3"/>
        <v xml:space="preserve"> </v>
      </c>
      <c r="R58" s="424" t="s">
        <v>8</v>
      </c>
      <c r="S58" s="301"/>
      <c r="T58" s="422" t="s">
        <v>574</v>
      </c>
      <c r="U58" s="3" t="str">
        <f t="shared" si="4"/>
        <v xml:space="preserve"> </v>
      </c>
      <c r="V58" s="422" t="s">
        <v>574</v>
      </c>
      <c r="W58" s="301"/>
      <c r="X58"/>
      <c r="Y58"/>
      <c r="AA58"/>
    </row>
    <row r="59" spans="1:27" x14ac:dyDescent="0.25">
      <c r="A59" t="s">
        <v>630</v>
      </c>
      <c r="B59" t="s">
        <v>631</v>
      </c>
      <c r="C59" s="301"/>
      <c r="D59" s="424" t="s">
        <v>8</v>
      </c>
      <c r="E59" s="3" t="str">
        <f t="shared" si="0"/>
        <v xml:space="preserve"> </v>
      </c>
      <c r="F59" s="424" t="s">
        <v>8</v>
      </c>
      <c r="G59" s="301"/>
      <c r="H59" s="422" t="s">
        <v>574</v>
      </c>
      <c r="I59" s="3" t="str">
        <f t="shared" si="1"/>
        <v xml:space="preserve"> </v>
      </c>
      <c r="J59" s="422" t="s">
        <v>574</v>
      </c>
      <c r="K59" s="301"/>
      <c r="L59" s="422" t="s">
        <v>574</v>
      </c>
      <c r="M59" s="3" t="str">
        <f t="shared" si="2"/>
        <v xml:space="preserve"> </v>
      </c>
      <c r="N59" s="422" t="s">
        <v>574</v>
      </c>
      <c r="O59" s="301"/>
      <c r="P59" s="424" t="s">
        <v>8</v>
      </c>
      <c r="Q59" s="3" t="str">
        <f t="shared" si="3"/>
        <v xml:space="preserve"> </v>
      </c>
      <c r="R59" s="424" t="s">
        <v>8</v>
      </c>
      <c r="S59" s="301"/>
      <c r="T59" s="422" t="s">
        <v>574</v>
      </c>
      <c r="U59" s="3" t="str">
        <f t="shared" si="4"/>
        <v xml:space="preserve"> </v>
      </c>
      <c r="V59" s="422" t="s">
        <v>574</v>
      </c>
      <c r="W59" s="301"/>
      <c r="X59"/>
      <c r="Y59"/>
      <c r="AA59"/>
    </row>
    <row r="60" spans="1:27" x14ac:dyDescent="0.25">
      <c r="A60" t="s">
        <v>632</v>
      </c>
      <c r="B60" t="s">
        <v>633</v>
      </c>
      <c r="C60" s="301"/>
      <c r="D60" s="424" t="s">
        <v>634</v>
      </c>
      <c r="E60" s="3" t="str">
        <f t="shared" si="0"/>
        <v xml:space="preserve"> </v>
      </c>
      <c r="F60" s="424" t="s">
        <v>634</v>
      </c>
      <c r="G60" s="301"/>
      <c r="H60" s="422" t="s">
        <v>574</v>
      </c>
      <c r="I60" s="3" t="str">
        <f t="shared" si="1"/>
        <v xml:space="preserve"> </v>
      </c>
      <c r="J60" s="422" t="s">
        <v>574</v>
      </c>
      <c r="K60" s="301"/>
      <c r="L60" s="424" t="s">
        <v>634</v>
      </c>
      <c r="M60" s="3" t="str">
        <f t="shared" si="2"/>
        <v xml:space="preserve"> </v>
      </c>
      <c r="N60" s="424" t="s">
        <v>634</v>
      </c>
      <c r="O60" s="301"/>
      <c r="P60" s="424" t="s">
        <v>634</v>
      </c>
      <c r="Q60" s="3" t="str">
        <f t="shared" si="3"/>
        <v xml:space="preserve"> </v>
      </c>
      <c r="R60" s="424" t="s">
        <v>634</v>
      </c>
      <c r="S60" s="301"/>
      <c r="T60" s="422" t="s">
        <v>574</v>
      </c>
      <c r="U60" s="3" t="str">
        <f t="shared" si="4"/>
        <v xml:space="preserve"> </v>
      </c>
      <c r="V60" s="422" t="s">
        <v>574</v>
      </c>
      <c r="W60" s="301"/>
      <c r="X60"/>
      <c r="Y60"/>
      <c r="AA60"/>
    </row>
    <row r="61" spans="1:27" x14ac:dyDescent="0.25">
      <c r="A61" t="s">
        <v>635</v>
      </c>
      <c r="B61" t="s">
        <v>636</v>
      </c>
      <c r="C61" s="301"/>
      <c r="D61" s="424" t="s">
        <v>7</v>
      </c>
      <c r="E61" s="3" t="str">
        <f t="shared" si="0"/>
        <v xml:space="preserve"> </v>
      </c>
      <c r="F61" s="424" t="s">
        <v>7</v>
      </c>
      <c r="G61" s="301"/>
      <c r="H61" s="422" t="s">
        <v>574</v>
      </c>
      <c r="I61" s="3" t="str">
        <f t="shared" si="1"/>
        <v xml:space="preserve"> </v>
      </c>
      <c r="J61" s="422" t="s">
        <v>574</v>
      </c>
      <c r="K61" s="301"/>
      <c r="L61" s="424" t="s">
        <v>7</v>
      </c>
      <c r="M61" s="3" t="str">
        <f t="shared" si="2"/>
        <v xml:space="preserve"> </v>
      </c>
      <c r="N61" s="424" t="s">
        <v>7</v>
      </c>
      <c r="O61" s="301"/>
      <c r="P61" s="424" t="s">
        <v>7</v>
      </c>
      <c r="Q61" s="3" t="str">
        <f t="shared" si="3"/>
        <v xml:space="preserve"> </v>
      </c>
      <c r="R61" s="424" t="s">
        <v>7</v>
      </c>
      <c r="S61" s="301"/>
      <c r="T61" s="420" t="s">
        <v>541</v>
      </c>
      <c r="U61" s="3" t="str">
        <f t="shared" si="4"/>
        <v xml:space="preserve"> </v>
      </c>
      <c r="V61" s="428" t="s">
        <v>541</v>
      </c>
      <c r="W61" s="301"/>
      <c r="X61"/>
      <c r="Y61"/>
      <c r="AA61"/>
    </row>
    <row r="62" spans="1:27" x14ac:dyDescent="0.25">
      <c r="A62" t="s">
        <v>637</v>
      </c>
      <c r="B62" t="s">
        <v>638</v>
      </c>
      <c r="C62" s="301"/>
      <c r="D62" s="424" t="s">
        <v>8</v>
      </c>
      <c r="E62" s="3" t="str">
        <f t="shared" si="0"/>
        <v xml:space="preserve"> </v>
      </c>
      <c r="F62" s="424" t="s">
        <v>8</v>
      </c>
      <c r="G62" s="301"/>
      <c r="H62" s="422" t="s">
        <v>574</v>
      </c>
      <c r="I62" s="3" t="str">
        <f t="shared" si="1"/>
        <v xml:space="preserve"> </v>
      </c>
      <c r="J62" s="422" t="s">
        <v>574</v>
      </c>
      <c r="K62" s="301"/>
      <c r="L62" s="422" t="s">
        <v>574</v>
      </c>
      <c r="M62" s="3" t="str">
        <f t="shared" si="2"/>
        <v xml:space="preserve"> </v>
      </c>
      <c r="N62" s="422" t="s">
        <v>574</v>
      </c>
      <c r="O62" s="301"/>
      <c r="P62" s="424" t="s">
        <v>8</v>
      </c>
      <c r="Q62" s="3" t="str">
        <f t="shared" si="3"/>
        <v xml:space="preserve"> </v>
      </c>
      <c r="R62" s="424" t="s">
        <v>8</v>
      </c>
      <c r="S62" s="301"/>
      <c r="T62" s="422" t="s">
        <v>574</v>
      </c>
      <c r="U62" s="3" t="str">
        <f t="shared" si="4"/>
        <v xml:space="preserve"> </v>
      </c>
      <c r="V62" s="422" t="s">
        <v>574</v>
      </c>
      <c r="W62" s="301"/>
      <c r="X62"/>
      <c r="Y62"/>
      <c r="AA62"/>
    </row>
    <row r="63" spans="1:27" x14ac:dyDescent="0.25">
      <c r="A63" t="s">
        <v>639</v>
      </c>
      <c r="B63" t="s">
        <v>640</v>
      </c>
      <c r="C63" s="301"/>
      <c r="D63" s="427" t="s">
        <v>10</v>
      </c>
      <c r="E63" s="3" t="str">
        <f t="shared" si="0"/>
        <v xml:space="preserve"> </v>
      </c>
      <c r="F63" s="427" t="s">
        <v>10</v>
      </c>
      <c r="G63" s="301"/>
      <c r="H63" s="422" t="s">
        <v>574</v>
      </c>
      <c r="I63" s="3" t="str">
        <f t="shared" si="1"/>
        <v xml:space="preserve"> </v>
      </c>
      <c r="J63" s="422" t="s">
        <v>574</v>
      </c>
      <c r="K63" s="301"/>
      <c r="L63" s="427" t="s">
        <v>10</v>
      </c>
      <c r="M63" s="3" t="str">
        <f t="shared" si="2"/>
        <v xml:space="preserve"> </v>
      </c>
      <c r="N63" s="427" t="s">
        <v>10</v>
      </c>
      <c r="O63" s="301"/>
      <c r="P63" s="427" t="s">
        <v>10</v>
      </c>
      <c r="Q63" s="3" t="str">
        <f t="shared" si="3"/>
        <v xml:space="preserve"> </v>
      </c>
      <c r="R63" s="427" t="s">
        <v>10</v>
      </c>
      <c r="S63" s="301"/>
      <c r="T63" s="422" t="s">
        <v>574</v>
      </c>
      <c r="U63" s="3" t="str">
        <f t="shared" si="4"/>
        <v xml:space="preserve"> </v>
      </c>
      <c r="V63" s="422" t="s">
        <v>574</v>
      </c>
      <c r="W63" s="301"/>
      <c r="X63"/>
      <c r="Y63"/>
      <c r="AA63"/>
    </row>
    <row r="64" spans="1:27" x14ac:dyDescent="0.25">
      <c r="A64" t="s">
        <v>641</v>
      </c>
      <c r="B64" t="s">
        <v>144</v>
      </c>
      <c r="C64" s="301"/>
      <c r="D64" s="419" t="s">
        <v>572</v>
      </c>
      <c r="E64" s="3" t="str">
        <f t="shared" si="0"/>
        <v>→</v>
      </c>
      <c r="F64" s="421" t="s">
        <v>7</v>
      </c>
      <c r="G64" s="301"/>
      <c r="H64" s="422" t="s">
        <v>574</v>
      </c>
      <c r="I64" s="3" t="str">
        <f t="shared" si="1"/>
        <v xml:space="preserve"> </v>
      </c>
      <c r="J64" s="422" t="s">
        <v>574</v>
      </c>
      <c r="K64" s="301"/>
      <c r="L64" s="419" t="s">
        <v>572</v>
      </c>
      <c r="M64" s="3" t="str">
        <f t="shared" si="2"/>
        <v>→</v>
      </c>
      <c r="N64" s="421" t="s">
        <v>7</v>
      </c>
      <c r="O64" s="301"/>
      <c r="P64" s="419" t="s">
        <v>572</v>
      </c>
      <c r="Q64" s="3" t="str">
        <f t="shared" si="3"/>
        <v>→</v>
      </c>
      <c r="R64" s="421" t="s">
        <v>7</v>
      </c>
      <c r="S64" s="301"/>
      <c r="T64" s="422" t="s">
        <v>574</v>
      </c>
      <c r="U64" s="3" t="str">
        <f t="shared" si="4"/>
        <v xml:space="preserve"> </v>
      </c>
      <c r="V64" s="422" t="s">
        <v>574</v>
      </c>
      <c r="W64" s="301"/>
      <c r="X64"/>
      <c r="Y64"/>
      <c r="AA64"/>
    </row>
    <row r="65" spans="1:27" x14ac:dyDescent="0.25">
      <c r="A65" t="s">
        <v>642</v>
      </c>
      <c r="B65" t="s">
        <v>23</v>
      </c>
      <c r="C65" s="301"/>
      <c r="D65" s="422" t="s">
        <v>574</v>
      </c>
      <c r="E65" s="3" t="str">
        <f t="shared" si="0"/>
        <v xml:space="preserve"> </v>
      </c>
      <c r="F65" s="422" t="s">
        <v>574</v>
      </c>
      <c r="G65" s="301"/>
      <c r="H65" s="422" t="s">
        <v>574</v>
      </c>
      <c r="I65" s="3" t="str">
        <f t="shared" si="1"/>
        <v xml:space="preserve"> </v>
      </c>
      <c r="J65" s="422" t="s">
        <v>574</v>
      </c>
      <c r="K65" s="301"/>
      <c r="L65" s="422" t="s">
        <v>574</v>
      </c>
      <c r="M65" s="3" t="str">
        <f t="shared" si="2"/>
        <v xml:space="preserve"> </v>
      </c>
      <c r="N65" s="422" t="s">
        <v>574</v>
      </c>
      <c r="O65" s="301"/>
      <c r="P65" s="422" t="s">
        <v>574</v>
      </c>
      <c r="Q65" s="3" t="str">
        <f t="shared" si="3"/>
        <v xml:space="preserve"> </v>
      </c>
      <c r="R65" s="422" t="s">
        <v>574</v>
      </c>
      <c r="S65" s="301"/>
      <c r="T65" s="420" t="s">
        <v>542</v>
      </c>
      <c r="U65" s="3" t="str">
        <f t="shared" si="4"/>
        <v>→</v>
      </c>
      <c r="V65" s="430" t="s">
        <v>541</v>
      </c>
      <c r="W65" s="301"/>
      <c r="X65"/>
      <c r="Y65"/>
      <c r="AA65"/>
    </row>
    <row r="66" spans="1:27" x14ac:dyDescent="0.25">
      <c r="A66" t="s">
        <v>643</v>
      </c>
      <c r="B66" t="s">
        <v>378</v>
      </c>
      <c r="C66" s="301"/>
      <c r="D66" s="424" t="s">
        <v>10</v>
      </c>
      <c r="E66" s="3" t="str">
        <f t="shared" si="0"/>
        <v xml:space="preserve"> </v>
      </c>
      <c r="F66" s="424" t="s">
        <v>10</v>
      </c>
      <c r="G66" s="301"/>
      <c r="H66" s="422" t="s">
        <v>574</v>
      </c>
      <c r="I66" s="3" t="str">
        <f t="shared" si="1"/>
        <v xml:space="preserve"> </v>
      </c>
      <c r="J66" s="422" t="s">
        <v>574</v>
      </c>
      <c r="K66" s="301"/>
      <c r="L66" s="424" t="s">
        <v>10</v>
      </c>
      <c r="M66" s="3" t="str">
        <f t="shared" si="2"/>
        <v xml:space="preserve"> </v>
      </c>
      <c r="N66" s="424" t="s">
        <v>10</v>
      </c>
      <c r="O66" s="301"/>
      <c r="P66" s="424" t="s">
        <v>10</v>
      </c>
      <c r="Q66" s="3" t="str">
        <f t="shared" si="3"/>
        <v xml:space="preserve"> </v>
      </c>
      <c r="R66" s="424" t="s">
        <v>10</v>
      </c>
      <c r="S66" s="301"/>
      <c r="T66" s="422" t="s">
        <v>574</v>
      </c>
      <c r="U66" s="3" t="str">
        <f t="shared" si="4"/>
        <v xml:space="preserve"> </v>
      </c>
      <c r="V66" s="422" t="s">
        <v>574</v>
      </c>
      <c r="W66" s="301"/>
      <c r="X66"/>
      <c r="Y66"/>
      <c r="AA66"/>
    </row>
    <row r="67" spans="1:27" x14ac:dyDescent="0.25">
      <c r="A67" t="s">
        <v>644</v>
      </c>
      <c r="B67" t="s">
        <v>227</v>
      </c>
      <c r="C67" s="301"/>
      <c r="D67" s="422" t="s">
        <v>574</v>
      </c>
      <c r="E67" s="3" t="str">
        <f t="shared" si="0"/>
        <v xml:space="preserve"> </v>
      </c>
      <c r="F67" s="422" t="s">
        <v>574</v>
      </c>
      <c r="G67" s="301"/>
      <c r="H67" s="422" t="s">
        <v>574</v>
      </c>
      <c r="I67" s="3" t="str">
        <f t="shared" si="1"/>
        <v xml:space="preserve"> </v>
      </c>
      <c r="J67" s="422" t="s">
        <v>574</v>
      </c>
      <c r="K67" s="301"/>
      <c r="L67" s="422" t="s">
        <v>574</v>
      </c>
      <c r="M67" s="3" t="str">
        <f t="shared" si="2"/>
        <v xml:space="preserve"> </v>
      </c>
      <c r="N67" s="422" t="s">
        <v>574</v>
      </c>
      <c r="O67" s="301"/>
      <c r="P67" s="422" t="s">
        <v>574</v>
      </c>
      <c r="Q67" s="3" t="str">
        <f t="shared" si="3"/>
        <v xml:space="preserve"> </v>
      </c>
      <c r="R67" s="422" t="s">
        <v>574</v>
      </c>
      <c r="S67" s="301"/>
      <c r="T67" s="420" t="s">
        <v>541</v>
      </c>
      <c r="U67" s="3" t="str">
        <f t="shared" si="4"/>
        <v xml:space="preserve"> </v>
      </c>
      <c r="V67" s="420" t="s">
        <v>541</v>
      </c>
      <c r="W67" s="301"/>
      <c r="X67"/>
      <c r="Y67"/>
      <c r="AA67"/>
    </row>
    <row r="68" spans="1:27" x14ac:dyDescent="0.25">
      <c r="A68" t="s">
        <v>645</v>
      </c>
      <c r="B68" t="s">
        <v>146</v>
      </c>
      <c r="C68" s="301"/>
      <c r="D68" s="424" t="s">
        <v>7</v>
      </c>
      <c r="E68" s="3" t="str">
        <f t="shared" si="0"/>
        <v xml:space="preserve"> </v>
      </c>
      <c r="F68" s="424" t="s">
        <v>7</v>
      </c>
      <c r="G68" s="301"/>
      <c r="H68" s="422" t="s">
        <v>574</v>
      </c>
      <c r="I68" s="3" t="str">
        <f t="shared" si="1"/>
        <v xml:space="preserve"> </v>
      </c>
      <c r="J68" s="422" t="s">
        <v>574</v>
      </c>
      <c r="K68" s="301"/>
      <c r="L68" s="424" t="s">
        <v>7</v>
      </c>
      <c r="M68" s="3" t="str">
        <f t="shared" si="2"/>
        <v xml:space="preserve"> </v>
      </c>
      <c r="N68" s="424" t="s">
        <v>7</v>
      </c>
      <c r="O68" s="301"/>
      <c r="P68" s="424" t="s">
        <v>7</v>
      </c>
      <c r="Q68" s="3" t="str">
        <f t="shared" si="3"/>
        <v xml:space="preserve"> </v>
      </c>
      <c r="R68" s="424" t="s">
        <v>7</v>
      </c>
      <c r="S68" s="301"/>
      <c r="T68" s="422" t="s">
        <v>574</v>
      </c>
      <c r="U68" s="3" t="str">
        <f t="shared" si="4"/>
        <v xml:space="preserve"> </v>
      </c>
      <c r="V68" s="422" t="s">
        <v>574</v>
      </c>
      <c r="W68" s="301"/>
      <c r="X68"/>
      <c r="Y68"/>
      <c r="AA68"/>
    </row>
    <row r="69" spans="1:27" x14ac:dyDescent="0.25">
      <c r="A69" t="s">
        <v>646</v>
      </c>
      <c r="B69" t="s">
        <v>148</v>
      </c>
      <c r="C69" s="301"/>
      <c r="D69" s="424" t="s">
        <v>7</v>
      </c>
      <c r="E69" s="3" t="str">
        <f t="shared" ref="E69:E79" si="6">IF(D69=F69," ","→")</f>
        <v xml:space="preserve"> </v>
      </c>
      <c r="F69" s="424" t="s">
        <v>7</v>
      </c>
      <c r="G69" s="301"/>
      <c r="H69" s="422" t="s">
        <v>574</v>
      </c>
      <c r="I69" s="3" t="str">
        <f t="shared" ref="I69:I70" si="7">IF(H69=J69," ","→")</f>
        <v xml:space="preserve"> </v>
      </c>
      <c r="J69" s="422" t="s">
        <v>574</v>
      </c>
      <c r="K69" s="301"/>
      <c r="L69" s="424" t="s">
        <v>7</v>
      </c>
      <c r="M69" s="3" t="str">
        <f t="shared" ref="M69:M79" si="8">IF(L69=N69," ","→")</f>
        <v xml:space="preserve"> </v>
      </c>
      <c r="N69" s="424" t="s">
        <v>7</v>
      </c>
      <c r="O69" s="301"/>
      <c r="P69" s="424" t="s">
        <v>7</v>
      </c>
      <c r="Q69" s="3" t="str">
        <f t="shared" ref="Q69:Q79" si="9">IF(P69=R69," ","→")</f>
        <v xml:space="preserve"> </v>
      </c>
      <c r="R69" s="424" t="s">
        <v>7</v>
      </c>
      <c r="S69" s="301"/>
      <c r="T69" s="422" t="s">
        <v>574</v>
      </c>
      <c r="U69" s="3" t="str">
        <f t="shared" ref="U69:U79" si="10">IF(T69=V69," ","→")</f>
        <v xml:space="preserve"> </v>
      </c>
      <c r="V69" s="422" t="s">
        <v>574</v>
      </c>
      <c r="W69" s="301"/>
      <c r="X69"/>
      <c r="Y69"/>
      <c r="AA69"/>
    </row>
    <row r="70" spans="1:27" x14ac:dyDescent="0.25">
      <c r="A70" t="s">
        <v>647</v>
      </c>
      <c r="B70" t="s">
        <v>230</v>
      </c>
      <c r="C70" s="301"/>
      <c r="D70" s="419" t="s">
        <v>572</v>
      </c>
      <c r="E70" s="3" t="str">
        <f t="shared" si="6"/>
        <v xml:space="preserve"> </v>
      </c>
      <c r="F70" s="419" t="s">
        <v>572</v>
      </c>
      <c r="G70" s="301"/>
      <c r="H70" s="422" t="s">
        <v>574</v>
      </c>
      <c r="I70" s="3" t="str">
        <f t="shared" si="7"/>
        <v xml:space="preserve"> </v>
      </c>
      <c r="J70" s="422" t="s">
        <v>574</v>
      </c>
      <c r="K70" s="301"/>
      <c r="L70" s="419" t="s">
        <v>572</v>
      </c>
      <c r="M70" s="3" t="str">
        <f t="shared" si="8"/>
        <v xml:space="preserve"> </v>
      </c>
      <c r="N70" s="419" t="s">
        <v>572</v>
      </c>
      <c r="O70" s="301"/>
      <c r="P70" s="419" t="s">
        <v>572</v>
      </c>
      <c r="Q70" s="3" t="str">
        <f t="shared" si="9"/>
        <v xml:space="preserve"> </v>
      </c>
      <c r="R70" s="419" t="s">
        <v>572</v>
      </c>
      <c r="S70" s="301"/>
      <c r="T70" s="422" t="s">
        <v>574</v>
      </c>
      <c r="U70" s="3" t="str">
        <f t="shared" si="10"/>
        <v xml:space="preserve"> </v>
      </c>
      <c r="V70" s="422" t="s">
        <v>574</v>
      </c>
      <c r="W70" s="301"/>
      <c r="X70"/>
      <c r="Y70"/>
      <c r="AA70"/>
    </row>
    <row r="71" spans="1:27" x14ac:dyDescent="0.25">
      <c r="A71" t="s">
        <v>648</v>
      </c>
      <c r="B71" t="s">
        <v>386</v>
      </c>
      <c r="C71" s="301"/>
      <c r="D71" s="422" t="s">
        <v>574</v>
      </c>
      <c r="E71" s="3" t="str">
        <f t="shared" si="6"/>
        <v xml:space="preserve"> </v>
      </c>
      <c r="F71" s="422" t="s">
        <v>574</v>
      </c>
      <c r="G71" s="301"/>
      <c r="H71" s="422" t="s">
        <v>574</v>
      </c>
      <c r="I71" s="3" t="str">
        <f t="shared" ref="I71:I79" si="11">IF(H71=J71," ","→")</f>
        <v xml:space="preserve"> </v>
      </c>
      <c r="J71" s="422" t="s">
        <v>574</v>
      </c>
      <c r="K71" s="301"/>
      <c r="L71" s="422" t="s">
        <v>574</v>
      </c>
      <c r="M71" s="3" t="str">
        <f t="shared" si="8"/>
        <v xml:space="preserve"> </v>
      </c>
      <c r="N71" s="422" t="s">
        <v>574</v>
      </c>
      <c r="O71" s="301"/>
      <c r="P71" s="419" t="s">
        <v>572</v>
      </c>
      <c r="R71" s="419" t="s">
        <v>572</v>
      </c>
      <c r="S71" s="301"/>
      <c r="T71" s="422" t="s">
        <v>574</v>
      </c>
      <c r="U71" s="3" t="str">
        <f t="shared" si="10"/>
        <v xml:space="preserve"> </v>
      </c>
      <c r="V71" s="422" t="s">
        <v>574</v>
      </c>
      <c r="W71" s="301"/>
      <c r="X71"/>
      <c r="Y71"/>
      <c r="AA71"/>
    </row>
    <row r="72" spans="1:27" x14ac:dyDescent="0.25">
      <c r="A72" t="s">
        <v>649</v>
      </c>
      <c r="B72" t="s">
        <v>150</v>
      </c>
      <c r="C72" s="301"/>
      <c r="D72" s="419" t="s">
        <v>572</v>
      </c>
      <c r="E72" s="3" t="str">
        <f t="shared" si="6"/>
        <v>→</v>
      </c>
      <c r="F72" s="421" t="s">
        <v>7</v>
      </c>
      <c r="G72" s="301"/>
      <c r="H72" s="422" t="s">
        <v>574</v>
      </c>
      <c r="I72" s="3" t="str">
        <f t="shared" si="11"/>
        <v xml:space="preserve"> </v>
      </c>
      <c r="J72" s="422" t="s">
        <v>574</v>
      </c>
      <c r="K72" s="301"/>
      <c r="L72" s="419" t="s">
        <v>572</v>
      </c>
      <c r="M72" s="3" t="str">
        <f t="shared" si="8"/>
        <v>→</v>
      </c>
      <c r="N72" s="421" t="s">
        <v>7</v>
      </c>
      <c r="O72" s="301"/>
      <c r="P72" s="419" t="s">
        <v>572</v>
      </c>
      <c r="Q72" s="3" t="str">
        <f t="shared" ref="Q72" si="12">IF(P72=R72," ","→")</f>
        <v>→</v>
      </c>
      <c r="R72" s="421" t="s">
        <v>7</v>
      </c>
      <c r="S72" s="301"/>
      <c r="T72" s="422" t="s">
        <v>574</v>
      </c>
      <c r="U72" s="3" t="str">
        <f t="shared" si="10"/>
        <v xml:space="preserve"> </v>
      </c>
      <c r="V72" s="422" t="s">
        <v>574</v>
      </c>
      <c r="W72" s="301"/>
      <c r="X72"/>
      <c r="Y72"/>
      <c r="AA72"/>
    </row>
    <row r="73" spans="1:27" x14ac:dyDescent="0.25">
      <c r="A73" t="s">
        <v>650</v>
      </c>
      <c r="B73" t="s">
        <v>27</v>
      </c>
      <c r="C73" s="301"/>
      <c r="D73" s="419" t="s">
        <v>572</v>
      </c>
      <c r="E73" s="3" t="str">
        <f t="shared" si="6"/>
        <v xml:space="preserve"> </v>
      </c>
      <c r="F73" s="419" t="s">
        <v>572</v>
      </c>
      <c r="G73" s="301"/>
      <c r="H73" s="422" t="s">
        <v>574</v>
      </c>
      <c r="I73" s="3" t="str">
        <f t="shared" si="11"/>
        <v xml:space="preserve"> </v>
      </c>
      <c r="J73" s="422" t="s">
        <v>574</v>
      </c>
      <c r="K73" s="301"/>
      <c r="L73" s="419" t="s">
        <v>572</v>
      </c>
      <c r="M73" s="3" t="str">
        <f t="shared" si="8"/>
        <v xml:space="preserve"> </v>
      </c>
      <c r="N73" s="419" t="s">
        <v>572</v>
      </c>
      <c r="O73" s="301"/>
      <c r="P73" s="419" t="s">
        <v>572</v>
      </c>
      <c r="Q73" s="3" t="str">
        <f t="shared" si="9"/>
        <v xml:space="preserve"> </v>
      </c>
      <c r="R73" s="419" t="s">
        <v>572</v>
      </c>
      <c r="S73" s="301"/>
      <c r="T73" s="420" t="s">
        <v>542</v>
      </c>
      <c r="U73" s="3" t="str">
        <f t="shared" si="10"/>
        <v>→</v>
      </c>
      <c r="V73" s="206" t="s">
        <v>541</v>
      </c>
      <c r="W73" s="301"/>
      <c r="X73"/>
      <c r="Y73"/>
      <c r="AA73"/>
    </row>
    <row r="74" spans="1:27" x14ac:dyDescent="0.25">
      <c r="A74" t="s">
        <v>651</v>
      </c>
      <c r="B74" t="s">
        <v>28</v>
      </c>
      <c r="C74" s="301"/>
      <c r="D74" s="419" t="s">
        <v>572</v>
      </c>
      <c r="E74" s="3" t="str">
        <f t="shared" si="6"/>
        <v xml:space="preserve"> </v>
      </c>
      <c r="F74" s="419" t="s">
        <v>572</v>
      </c>
      <c r="G74" s="301"/>
      <c r="H74" s="422" t="s">
        <v>574</v>
      </c>
      <c r="I74" s="3" t="str">
        <f t="shared" si="11"/>
        <v xml:space="preserve"> </v>
      </c>
      <c r="J74" s="422" t="s">
        <v>574</v>
      </c>
      <c r="K74" s="301"/>
      <c r="L74" s="419" t="s">
        <v>572</v>
      </c>
      <c r="M74" s="3" t="str">
        <f t="shared" si="8"/>
        <v xml:space="preserve"> </v>
      </c>
      <c r="N74" s="419" t="s">
        <v>572</v>
      </c>
      <c r="O74" s="301"/>
      <c r="P74" s="419" t="s">
        <v>572</v>
      </c>
      <c r="Q74" s="3" t="str">
        <f t="shared" si="9"/>
        <v xml:space="preserve"> </v>
      </c>
      <c r="R74" s="419" t="s">
        <v>572</v>
      </c>
      <c r="S74" s="301"/>
      <c r="T74" s="422" t="s">
        <v>574</v>
      </c>
      <c r="U74" s="3" t="str">
        <f t="shared" si="10"/>
        <v xml:space="preserve"> </v>
      </c>
      <c r="V74" s="422" t="s">
        <v>574</v>
      </c>
      <c r="W74" s="301"/>
      <c r="X74"/>
      <c r="Y74"/>
      <c r="AA74"/>
    </row>
    <row r="75" spans="1:27" x14ac:dyDescent="0.25">
      <c r="A75" t="s">
        <v>652</v>
      </c>
      <c r="B75" t="s">
        <v>29</v>
      </c>
      <c r="C75" s="301"/>
      <c r="D75" s="419" t="s">
        <v>572</v>
      </c>
      <c r="E75" s="3" t="str">
        <f t="shared" si="6"/>
        <v xml:space="preserve"> </v>
      </c>
      <c r="F75" s="419" t="s">
        <v>572</v>
      </c>
      <c r="G75" s="301"/>
      <c r="H75" s="422" t="s">
        <v>574</v>
      </c>
      <c r="I75" s="3" t="str">
        <f t="shared" si="11"/>
        <v xml:space="preserve"> </v>
      </c>
      <c r="J75" s="422" t="s">
        <v>574</v>
      </c>
      <c r="K75" s="301"/>
      <c r="L75" s="419" t="s">
        <v>572</v>
      </c>
      <c r="M75" s="3" t="str">
        <f t="shared" si="8"/>
        <v xml:space="preserve"> </v>
      </c>
      <c r="N75" s="419" t="s">
        <v>572</v>
      </c>
      <c r="O75" s="301"/>
      <c r="P75" s="419" t="s">
        <v>572</v>
      </c>
      <c r="Q75" s="3" t="str">
        <f t="shared" si="9"/>
        <v xml:space="preserve"> </v>
      </c>
      <c r="R75" s="419" t="s">
        <v>572</v>
      </c>
      <c r="S75" s="301"/>
      <c r="T75" s="420" t="s">
        <v>542</v>
      </c>
      <c r="U75" s="3" t="str">
        <f t="shared" si="10"/>
        <v>→</v>
      </c>
      <c r="V75" s="206" t="s">
        <v>541</v>
      </c>
      <c r="W75" s="301"/>
      <c r="X75"/>
      <c r="Y75"/>
      <c r="AA75"/>
    </row>
    <row r="76" spans="1:27" x14ac:dyDescent="0.25">
      <c r="A76" t="s">
        <v>653</v>
      </c>
      <c r="B76" t="s">
        <v>155</v>
      </c>
      <c r="C76" s="301"/>
      <c r="D76" s="424" t="s">
        <v>7</v>
      </c>
      <c r="E76" s="3" t="str">
        <f t="shared" si="6"/>
        <v xml:space="preserve"> </v>
      </c>
      <c r="F76" s="424" t="s">
        <v>7</v>
      </c>
      <c r="G76" s="301"/>
      <c r="H76" s="422" t="s">
        <v>574</v>
      </c>
      <c r="I76" s="3" t="str">
        <f t="shared" si="11"/>
        <v xml:space="preserve"> </v>
      </c>
      <c r="J76" s="422" t="s">
        <v>574</v>
      </c>
      <c r="K76" s="301"/>
      <c r="L76" s="424" t="s">
        <v>7</v>
      </c>
      <c r="M76" s="3" t="str">
        <f t="shared" si="8"/>
        <v xml:space="preserve"> </v>
      </c>
      <c r="N76" s="424" t="s">
        <v>7</v>
      </c>
      <c r="O76" s="301"/>
      <c r="P76" s="424" t="s">
        <v>7</v>
      </c>
      <c r="Q76" s="3" t="str">
        <f t="shared" si="9"/>
        <v xml:space="preserve"> </v>
      </c>
      <c r="R76" s="424" t="s">
        <v>7</v>
      </c>
      <c r="S76" s="301"/>
      <c r="T76" s="422" t="s">
        <v>574</v>
      </c>
      <c r="U76" s="3" t="str">
        <f t="shared" si="10"/>
        <v xml:space="preserve"> </v>
      </c>
      <c r="V76" s="422" t="s">
        <v>574</v>
      </c>
      <c r="W76" s="301"/>
      <c r="X76"/>
      <c r="Y76"/>
      <c r="AA76"/>
    </row>
    <row r="77" spans="1:27" x14ac:dyDescent="0.25">
      <c r="A77" t="s">
        <v>654</v>
      </c>
      <c r="B77" t="s">
        <v>30</v>
      </c>
      <c r="C77" s="301"/>
      <c r="D77" s="419" t="s">
        <v>572</v>
      </c>
      <c r="E77" s="3" t="str">
        <f t="shared" si="6"/>
        <v xml:space="preserve"> </v>
      </c>
      <c r="F77" s="419" t="s">
        <v>572</v>
      </c>
      <c r="G77" s="301"/>
      <c r="H77" s="422" t="s">
        <v>574</v>
      </c>
      <c r="I77" s="3" t="str">
        <f t="shared" si="11"/>
        <v xml:space="preserve"> </v>
      </c>
      <c r="J77" s="422" t="s">
        <v>574</v>
      </c>
      <c r="K77" s="301"/>
      <c r="L77" s="419" t="s">
        <v>572</v>
      </c>
      <c r="M77" s="3" t="str">
        <f t="shared" si="8"/>
        <v xml:space="preserve"> </v>
      </c>
      <c r="N77" s="419" t="s">
        <v>572</v>
      </c>
      <c r="O77" s="301"/>
      <c r="P77" s="419" t="s">
        <v>572</v>
      </c>
      <c r="Q77" s="3" t="str">
        <f t="shared" si="9"/>
        <v xml:space="preserve"> </v>
      </c>
      <c r="R77" s="419" t="s">
        <v>572</v>
      </c>
      <c r="S77" s="301"/>
      <c r="T77" s="420" t="s">
        <v>542</v>
      </c>
      <c r="U77" s="3" t="str">
        <f t="shared" si="10"/>
        <v>→</v>
      </c>
      <c r="V77" s="206" t="s">
        <v>541</v>
      </c>
      <c r="W77" s="301"/>
      <c r="X77"/>
      <c r="Y77"/>
      <c r="AA77"/>
    </row>
    <row r="78" spans="1:27" x14ac:dyDescent="0.25">
      <c r="A78" t="s">
        <v>655</v>
      </c>
      <c r="B78" t="s">
        <v>388</v>
      </c>
      <c r="C78" s="301"/>
      <c r="D78" s="424" t="s">
        <v>9</v>
      </c>
      <c r="E78" s="3" t="str">
        <f t="shared" si="6"/>
        <v xml:space="preserve"> </v>
      </c>
      <c r="F78" s="424" t="s">
        <v>9</v>
      </c>
      <c r="G78" s="301"/>
      <c r="H78" s="422" t="s">
        <v>574</v>
      </c>
      <c r="I78" s="3" t="str">
        <f t="shared" si="11"/>
        <v xml:space="preserve"> </v>
      </c>
      <c r="J78" s="422" t="s">
        <v>574</v>
      </c>
      <c r="K78" s="301"/>
      <c r="L78" s="424" t="s">
        <v>9</v>
      </c>
      <c r="M78" s="3" t="str">
        <f t="shared" si="8"/>
        <v xml:space="preserve"> </v>
      </c>
      <c r="N78" s="424" t="s">
        <v>9</v>
      </c>
      <c r="O78" s="301"/>
      <c r="P78" s="424" t="s">
        <v>9</v>
      </c>
      <c r="Q78" s="3" t="str">
        <f t="shared" si="9"/>
        <v xml:space="preserve"> </v>
      </c>
      <c r="R78" s="424" t="s">
        <v>9</v>
      </c>
      <c r="S78" s="301"/>
      <c r="T78" s="422" t="s">
        <v>574</v>
      </c>
      <c r="U78" s="3" t="str">
        <f t="shared" si="10"/>
        <v xml:space="preserve"> </v>
      </c>
      <c r="V78" s="422" t="s">
        <v>574</v>
      </c>
      <c r="W78" s="301"/>
      <c r="X78"/>
      <c r="Y78"/>
      <c r="AA78"/>
    </row>
    <row r="79" spans="1:27" x14ac:dyDescent="0.25">
      <c r="A79" t="s">
        <v>656</v>
      </c>
      <c r="B79" t="s">
        <v>159</v>
      </c>
      <c r="C79" s="301"/>
      <c r="D79" s="424" t="s">
        <v>7</v>
      </c>
      <c r="E79" s="3" t="str">
        <f t="shared" si="6"/>
        <v xml:space="preserve"> </v>
      </c>
      <c r="F79" s="424" t="s">
        <v>7</v>
      </c>
      <c r="G79" s="301"/>
      <c r="H79" s="424" t="s">
        <v>7</v>
      </c>
      <c r="I79" s="3" t="str">
        <f t="shared" si="11"/>
        <v xml:space="preserve"> </v>
      </c>
      <c r="J79" s="424" t="s">
        <v>7</v>
      </c>
      <c r="K79" s="301"/>
      <c r="L79" s="424" t="s">
        <v>7</v>
      </c>
      <c r="M79" s="3" t="str">
        <f t="shared" si="8"/>
        <v xml:space="preserve"> </v>
      </c>
      <c r="N79" s="424" t="s">
        <v>7</v>
      </c>
      <c r="O79" s="301"/>
      <c r="P79" s="424" t="s">
        <v>7</v>
      </c>
      <c r="Q79" s="3" t="str">
        <f t="shared" si="9"/>
        <v xml:space="preserve"> </v>
      </c>
      <c r="R79" s="424" t="s">
        <v>7</v>
      </c>
      <c r="S79" s="301"/>
      <c r="T79" s="420" t="s">
        <v>542</v>
      </c>
      <c r="U79" s="3" t="str">
        <f t="shared" si="10"/>
        <v>→</v>
      </c>
      <c r="V79" s="206" t="s">
        <v>541</v>
      </c>
      <c r="W79" s="301"/>
      <c r="X79"/>
      <c r="Y79"/>
      <c r="AA79"/>
    </row>
    <row r="80" spans="1:27" ht="9" customHeight="1" x14ac:dyDescent="0.25">
      <c r="C80" s="301"/>
      <c r="D80" s="415"/>
      <c r="E80" s="415"/>
      <c r="F80" s="415"/>
      <c r="G80" s="301"/>
      <c r="H80" s="415"/>
      <c r="I80" s="415"/>
      <c r="J80" s="415"/>
      <c r="K80" s="301"/>
      <c r="L80" s="415"/>
      <c r="M80" s="415"/>
      <c r="N80" s="415"/>
      <c r="O80" s="301"/>
      <c r="P80" s="415"/>
      <c r="Q80" s="415"/>
      <c r="R80" s="415"/>
      <c r="S80" s="301"/>
      <c r="T80" s="415"/>
      <c r="U80" s="301"/>
      <c r="V80" s="415"/>
      <c r="W80" s="301"/>
      <c r="X80"/>
      <c r="Y80"/>
      <c r="AA80"/>
    </row>
  </sheetData>
  <mergeCells count="5">
    <mergeCell ref="D2:F2"/>
    <mergeCell ref="T2:V2"/>
    <mergeCell ref="P2:R2"/>
    <mergeCell ref="L2:N2"/>
    <mergeCell ref="H2:J2"/>
  </mergeCells>
  <conditionalFormatting sqref="V12:W12 V48:W49 V79:W79 V65:W65 V46:W46 W78 V67:W67 W68">
    <cfRule type="containsText" dxfId="584" priority="1336" operator="containsText" text="Insurance">
      <formula>NOT(ISERROR(SEARCH("Insurance",V12)))</formula>
    </cfRule>
    <cfRule type="containsText" dxfId="583" priority="1337" operator="containsText" text="Region 9">
      <formula>NOT(ISERROR(SEARCH("Region 9",V12)))</formula>
    </cfRule>
    <cfRule type="containsText" dxfId="582" priority="1338" operator="containsText" text="ETM">
      <formula>NOT(ISERROR(SEARCH("ETM",V12)))</formula>
    </cfRule>
    <cfRule type="containsText" dxfId="581" priority="1339" operator="containsText" text="Outfall">
      <formula>NOT(ISERROR(SEARCH("Outfall",V12)))</formula>
    </cfRule>
    <cfRule type="containsText" dxfId="580" priority="1340" operator="containsText" text="Petroleum">
      <formula>NOT(ISERROR(SEARCH("Petroleum",V12)))</formula>
    </cfRule>
    <cfRule type="containsText" dxfId="579" priority="1341" operator="containsText" text="Laboratory">
      <formula>NOT(ISERROR(SEARCH("Laboratory",V12)))</formula>
    </cfRule>
    <cfRule type="containsText" dxfId="578" priority="1342" operator="containsText" text="Odor Control">
      <formula>NOT(ISERROR(SEARCH("Odor Control",V12)))</formula>
    </cfRule>
    <cfRule type="containsText" dxfId="577" priority="1343" operator="containsText" text="Ferric">
      <formula>NOT(ISERROR(SEARCH("Ferric",V12)))</formula>
    </cfRule>
    <cfRule type="containsText" dxfId="576" priority="1344" operator="containsText" text="Chlorine">
      <formula>NOT(ISERROR(SEARCH("Chlorine",V12)))</formula>
    </cfRule>
    <cfRule type="containsText" dxfId="575" priority="1345" operator="containsText" text="Potable">
      <formula>NOT(ISERROR(SEARCH("Potable",V12)))</formula>
    </cfRule>
    <cfRule type="containsText" dxfId="574" priority="1346" operator="containsText" text="Natural Gas">
      <formula>NOT(ISERROR(SEARCH("Natural Gas",V12)))</formula>
    </cfRule>
    <cfRule type="containsText" dxfId="573" priority="1347" operator="containsText" text="Electricity">
      <formula>NOT(ISERROR(SEARCH("Electricity",V12)))</formula>
    </cfRule>
    <cfRule type="containsText" dxfId="572" priority="1348" operator="containsText" text="Single Area">
      <formula>NOT(ISERROR(SEARCH("Single Area",V12)))</formula>
    </cfRule>
    <cfRule type="containsText" dxfId="571" priority="1349" operator="containsText" text="Actual Use">
      <formula>NOT(ISERROR(SEARCH("Actual Use",V12)))</formula>
    </cfRule>
    <cfRule type="containsText" dxfId="570" priority="1350" operator="containsText" text="Labor -">
      <formula>NOT(ISERROR(SEARCH("Labor -",V12)))</formula>
    </cfRule>
  </conditionalFormatting>
  <conditionalFormatting sqref="V13:W13">
    <cfRule type="containsText" dxfId="569" priority="1321" operator="containsText" text="Insurance">
      <formula>NOT(ISERROR(SEARCH("Insurance",V13)))</formula>
    </cfRule>
    <cfRule type="containsText" dxfId="568" priority="1322" operator="containsText" text="Region 9">
      <formula>NOT(ISERROR(SEARCH("Region 9",V13)))</formula>
    </cfRule>
    <cfRule type="containsText" dxfId="567" priority="1323" operator="containsText" text="ETM">
      <formula>NOT(ISERROR(SEARCH("ETM",V13)))</formula>
    </cfRule>
    <cfRule type="containsText" dxfId="566" priority="1324" operator="containsText" text="Outfall">
      <formula>NOT(ISERROR(SEARCH("Outfall",V13)))</formula>
    </cfRule>
    <cfRule type="containsText" dxfId="565" priority="1325" operator="containsText" text="Petroleum">
      <formula>NOT(ISERROR(SEARCH("Petroleum",V13)))</formula>
    </cfRule>
    <cfRule type="containsText" dxfId="564" priority="1326" operator="containsText" text="Laboratory">
      <formula>NOT(ISERROR(SEARCH("Laboratory",V13)))</formula>
    </cfRule>
    <cfRule type="containsText" dxfId="563" priority="1327" operator="containsText" text="Odor Control">
      <formula>NOT(ISERROR(SEARCH("Odor Control",V13)))</formula>
    </cfRule>
    <cfRule type="containsText" dxfId="562" priority="1328" operator="containsText" text="Ferric">
      <formula>NOT(ISERROR(SEARCH("Ferric",V13)))</formula>
    </cfRule>
    <cfRule type="containsText" dxfId="561" priority="1329" operator="containsText" text="Chlorine">
      <formula>NOT(ISERROR(SEARCH("Chlorine",V13)))</formula>
    </cfRule>
    <cfRule type="containsText" dxfId="560" priority="1330" operator="containsText" text="Potable">
      <formula>NOT(ISERROR(SEARCH("Potable",V13)))</formula>
    </cfRule>
    <cfRule type="containsText" dxfId="559" priority="1331" operator="containsText" text="Natural Gas">
      <formula>NOT(ISERROR(SEARCH("Natural Gas",V13)))</formula>
    </cfRule>
    <cfRule type="containsText" dxfId="558" priority="1332" operator="containsText" text="Electricity">
      <formula>NOT(ISERROR(SEARCH("Electricity",V13)))</formula>
    </cfRule>
    <cfRule type="containsText" dxfId="557" priority="1333" operator="containsText" text="Single Area">
      <formula>NOT(ISERROR(SEARCH("Single Area",V13)))</formula>
    </cfRule>
    <cfRule type="containsText" dxfId="556" priority="1334" operator="containsText" text="Actual Use">
      <formula>NOT(ISERROR(SEARCH("Actual Use",V13)))</formula>
    </cfRule>
    <cfRule type="containsText" dxfId="555" priority="1335" operator="containsText" text="Labor -">
      <formula>NOT(ISERROR(SEARCH("Labor -",V13)))</formula>
    </cfRule>
  </conditionalFormatting>
  <conditionalFormatting sqref="V50:W50">
    <cfRule type="containsText" dxfId="554" priority="1306" operator="containsText" text="Insurance">
      <formula>NOT(ISERROR(SEARCH("Insurance",V50)))</formula>
    </cfRule>
    <cfRule type="containsText" dxfId="553" priority="1307" operator="containsText" text="Region 9">
      <formula>NOT(ISERROR(SEARCH("Region 9",V50)))</formula>
    </cfRule>
    <cfRule type="containsText" dxfId="552" priority="1308" operator="containsText" text="ETM">
      <formula>NOT(ISERROR(SEARCH("ETM",V50)))</formula>
    </cfRule>
    <cfRule type="containsText" dxfId="551" priority="1309" operator="containsText" text="Outfall">
      <formula>NOT(ISERROR(SEARCH("Outfall",V50)))</formula>
    </cfRule>
    <cfRule type="containsText" dxfId="550" priority="1310" operator="containsText" text="Petroleum">
      <formula>NOT(ISERROR(SEARCH("Petroleum",V50)))</formula>
    </cfRule>
    <cfRule type="containsText" dxfId="549" priority="1311" operator="containsText" text="Laboratory">
      <formula>NOT(ISERROR(SEARCH("Laboratory",V50)))</formula>
    </cfRule>
    <cfRule type="containsText" dxfId="548" priority="1312" operator="containsText" text="Odor Control">
      <formula>NOT(ISERROR(SEARCH("Odor Control",V50)))</formula>
    </cfRule>
    <cfRule type="containsText" dxfId="547" priority="1313" operator="containsText" text="Ferric">
      <formula>NOT(ISERROR(SEARCH("Ferric",V50)))</formula>
    </cfRule>
    <cfRule type="containsText" dxfId="546" priority="1314" operator="containsText" text="Chlorine">
      <formula>NOT(ISERROR(SEARCH("Chlorine",V50)))</formula>
    </cfRule>
    <cfRule type="containsText" dxfId="545" priority="1315" operator="containsText" text="Potable">
      <formula>NOT(ISERROR(SEARCH("Potable",V50)))</formula>
    </cfRule>
    <cfRule type="containsText" dxfId="544" priority="1316" operator="containsText" text="Natural Gas">
      <formula>NOT(ISERROR(SEARCH("Natural Gas",V50)))</formula>
    </cfRule>
    <cfRule type="containsText" dxfId="543" priority="1317" operator="containsText" text="Electricity">
      <formula>NOT(ISERROR(SEARCH("Electricity",V50)))</formula>
    </cfRule>
    <cfRule type="containsText" dxfId="542" priority="1318" operator="containsText" text="Single Area">
      <formula>NOT(ISERROR(SEARCH("Single Area",V50)))</formula>
    </cfRule>
    <cfRule type="containsText" dxfId="541" priority="1319" operator="containsText" text="Actual Use">
      <formula>NOT(ISERROR(SEARCH("Actual Use",V50)))</formula>
    </cfRule>
    <cfRule type="containsText" dxfId="540" priority="1320" operator="containsText" text="Labor -">
      <formula>NOT(ISERROR(SEARCH("Labor -",V50)))</formula>
    </cfRule>
  </conditionalFormatting>
  <conditionalFormatting sqref="V61:W61">
    <cfRule type="containsText" dxfId="539" priority="1291" operator="containsText" text="Insurance">
      <formula>NOT(ISERROR(SEARCH("Insurance",V61)))</formula>
    </cfRule>
    <cfRule type="containsText" dxfId="538" priority="1292" operator="containsText" text="Region 9">
      <formula>NOT(ISERROR(SEARCH("Region 9",V61)))</formula>
    </cfRule>
    <cfRule type="containsText" dxfId="537" priority="1293" operator="containsText" text="ETM">
      <formula>NOT(ISERROR(SEARCH("ETM",V61)))</formula>
    </cfRule>
    <cfRule type="containsText" dxfId="536" priority="1294" operator="containsText" text="Outfall">
      <formula>NOT(ISERROR(SEARCH("Outfall",V61)))</formula>
    </cfRule>
    <cfRule type="containsText" dxfId="535" priority="1295" operator="containsText" text="Petroleum">
      <formula>NOT(ISERROR(SEARCH("Petroleum",V61)))</formula>
    </cfRule>
    <cfRule type="containsText" dxfId="534" priority="1296" operator="containsText" text="Laboratory">
      <formula>NOT(ISERROR(SEARCH("Laboratory",V61)))</formula>
    </cfRule>
    <cfRule type="containsText" dxfId="533" priority="1297" operator="containsText" text="Odor Control">
      <formula>NOT(ISERROR(SEARCH("Odor Control",V61)))</formula>
    </cfRule>
    <cfRule type="containsText" dxfId="532" priority="1298" operator="containsText" text="Ferric">
      <formula>NOT(ISERROR(SEARCH("Ferric",V61)))</formula>
    </cfRule>
    <cfRule type="containsText" dxfId="531" priority="1299" operator="containsText" text="Chlorine">
      <formula>NOT(ISERROR(SEARCH("Chlorine",V61)))</formula>
    </cfRule>
    <cfRule type="containsText" dxfId="530" priority="1300" operator="containsText" text="Potable">
      <formula>NOT(ISERROR(SEARCH("Potable",V61)))</formula>
    </cfRule>
    <cfRule type="containsText" dxfId="529" priority="1301" operator="containsText" text="Natural Gas">
      <formula>NOT(ISERROR(SEARCH("Natural Gas",V61)))</formula>
    </cfRule>
    <cfRule type="containsText" dxfId="528" priority="1302" operator="containsText" text="Electricity">
      <formula>NOT(ISERROR(SEARCH("Electricity",V61)))</formula>
    </cfRule>
    <cfRule type="containsText" dxfId="527" priority="1303" operator="containsText" text="Single Area">
      <formula>NOT(ISERROR(SEARCH("Single Area",V61)))</formula>
    </cfRule>
    <cfRule type="containsText" dxfId="526" priority="1304" operator="containsText" text="Actual Use">
      <formula>NOT(ISERROR(SEARCH("Actual Use",V61)))</formula>
    </cfRule>
    <cfRule type="containsText" dxfId="525" priority="1305" operator="containsText" text="Labor -">
      <formula>NOT(ISERROR(SEARCH("Labor -",V61)))</formula>
    </cfRule>
  </conditionalFormatting>
  <conditionalFormatting sqref="V4:W11">
    <cfRule type="containsText" dxfId="524" priority="1171" operator="containsText" text="Insurance">
      <formula>NOT(ISERROR(SEARCH("Insurance",V4)))</formula>
    </cfRule>
    <cfRule type="containsText" dxfId="523" priority="1172" operator="containsText" text="Region 9">
      <formula>NOT(ISERROR(SEARCH("Region 9",V4)))</formula>
    </cfRule>
    <cfRule type="containsText" dxfId="522" priority="1173" operator="containsText" text="ETM">
      <formula>NOT(ISERROR(SEARCH("ETM",V4)))</formula>
    </cfRule>
    <cfRule type="containsText" dxfId="521" priority="1174" operator="containsText" text="Outfall">
      <formula>NOT(ISERROR(SEARCH("Outfall",V4)))</formula>
    </cfRule>
    <cfRule type="containsText" dxfId="520" priority="1175" operator="containsText" text="Petroleum">
      <formula>NOT(ISERROR(SEARCH("Petroleum",V4)))</formula>
    </cfRule>
    <cfRule type="containsText" dxfId="519" priority="1176" operator="containsText" text="Laboratory">
      <formula>NOT(ISERROR(SEARCH("Laboratory",V4)))</formula>
    </cfRule>
    <cfRule type="containsText" dxfId="518" priority="1177" operator="containsText" text="Odor Control">
      <formula>NOT(ISERROR(SEARCH("Odor Control",V4)))</formula>
    </cfRule>
    <cfRule type="containsText" dxfId="517" priority="1178" operator="containsText" text="Ferric">
      <formula>NOT(ISERROR(SEARCH("Ferric",V4)))</formula>
    </cfRule>
    <cfRule type="containsText" dxfId="516" priority="1179" operator="containsText" text="Chlorine">
      <formula>NOT(ISERROR(SEARCH("Chlorine",V4)))</formula>
    </cfRule>
    <cfRule type="containsText" dxfId="515" priority="1180" operator="containsText" text="Potable">
      <formula>NOT(ISERROR(SEARCH("Potable",V4)))</formula>
    </cfRule>
    <cfRule type="containsText" dxfId="514" priority="1181" operator="containsText" text="Natural Gas">
      <formula>NOT(ISERROR(SEARCH("Natural Gas",V4)))</formula>
    </cfRule>
    <cfRule type="containsText" dxfId="513" priority="1182" operator="containsText" text="Electricity">
      <formula>NOT(ISERROR(SEARCH("Electricity",V4)))</formula>
    </cfRule>
    <cfRule type="containsText" dxfId="512" priority="1183" operator="containsText" text="Single Area">
      <formula>NOT(ISERROR(SEARCH("Single Area",V4)))</formula>
    </cfRule>
    <cfRule type="containsText" dxfId="511" priority="1184" operator="containsText" text="Actual Use">
      <formula>NOT(ISERROR(SEARCH("Actual Use",V4)))</formula>
    </cfRule>
    <cfRule type="containsText" dxfId="510" priority="1185" operator="containsText" text="Labor -">
      <formula>NOT(ISERROR(SEARCH("Labor -",V4)))</formula>
    </cfRule>
  </conditionalFormatting>
  <conditionalFormatting sqref="W24:W25">
    <cfRule type="containsText" dxfId="509" priority="1156" operator="containsText" text="Insurance">
      <formula>NOT(ISERROR(SEARCH("Insurance",W24)))</formula>
    </cfRule>
    <cfRule type="containsText" dxfId="508" priority="1157" operator="containsText" text="Region 9">
      <formula>NOT(ISERROR(SEARCH("Region 9",W24)))</formula>
    </cfRule>
    <cfRule type="containsText" dxfId="507" priority="1158" operator="containsText" text="ETM">
      <formula>NOT(ISERROR(SEARCH("ETM",W24)))</formula>
    </cfRule>
    <cfRule type="containsText" dxfId="506" priority="1159" operator="containsText" text="Outfall">
      <formula>NOT(ISERROR(SEARCH("Outfall",W24)))</formula>
    </cfRule>
    <cfRule type="containsText" dxfId="505" priority="1160" operator="containsText" text="Petroleum">
      <formula>NOT(ISERROR(SEARCH("Petroleum",W24)))</formula>
    </cfRule>
    <cfRule type="containsText" dxfId="504" priority="1161" operator="containsText" text="Laboratory">
      <formula>NOT(ISERROR(SEARCH("Laboratory",W24)))</formula>
    </cfRule>
    <cfRule type="containsText" dxfId="503" priority="1162" operator="containsText" text="Odor Control">
      <formula>NOT(ISERROR(SEARCH("Odor Control",W24)))</formula>
    </cfRule>
    <cfRule type="containsText" dxfId="502" priority="1163" operator="containsText" text="Ferric">
      <formula>NOT(ISERROR(SEARCH("Ferric",W24)))</formula>
    </cfRule>
    <cfRule type="containsText" dxfId="501" priority="1164" operator="containsText" text="Chlorine">
      <formula>NOT(ISERROR(SEARCH("Chlorine",W24)))</formula>
    </cfRule>
    <cfRule type="containsText" dxfId="500" priority="1165" operator="containsText" text="Potable">
      <formula>NOT(ISERROR(SEARCH("Potable",W24)))</formula>
    </cfRule>
    <cfRule type="containsText" dxfId="499" priority="1166" operator="containsText" text="Natural Gas">
      <formula>NOT(ISERROR(SEARCH("Natural Gas",W24)))</formula>
    </cfRule>
    <cfRule type="containsText" dxfId="498" priority="1167" operator="containsText" text="Electricity">
      <formula>NOT(ISERROR(SEARCH("Electricity",W24)))</formula>
    </cfRule>
    <cfRule type="containsText" dxfId="497" priority="1168" operator="containsText" text="Single Area">
      <formula>NOT(ISERROR(SEARCH("Single Area",W24)))</formula>
    </cfRule>
    <cfRule type="containsText" dxfId="496" priority="1169" operator="containsText" text="Actual Use">
      <formula>NOT(ISERROR(SEARCH("Actual Use",W24)))</formula>
    </cfRule>
    <cfRule type="containsText" dxfId="495" priority="1170" operator="containsText" text="Labor -">
      <formula>NOT(ISERROR(SEARCH("Labor -",W24)))</formula>
    </cfRule>
  </conditionalFormatting>
  <conditionalFormatting sqref="W27">
    <cfRule type="containsText" dxfId="494" priority="1141" operator="containsText" text="Insurance">
      <formula>NOT(ISERROR(SEARCH("Insurance",W27)))</formula>
    </cfRule>
    <cfRule type="containsText" dxfId="493" priority="1142" operator="containsText" text="Region 9">
      <formula>NOT(ISERROR(SEARCH("Region 9",W27)))</formula>
    </cfRule>
    <cfRule type="containsText" dxfId="492" priority="1143" operator="containsText" text="ETM">
      <formula>NOT(ISERROR(SEARCH("ETM",W27)))</formula>
    </cfRule>
    <cfRule type="containsText" dxfId="491" priority="1144" operator="containsText" text="Outfall">
      <formula>NOT(ISERROR(SEARCH("Outfall",W27)))</formula>
    </cfRule>
    <cfRule type="containsText" dxfId="490" priority="1145" operator="containsText" text="Petroleum">
      <formula>NOT(ISERROR(SEARCH("Petroleum",W27)))</formula>
    </cfRule>
    <cfRule type="containsText" dxfId="489" priority="1146" operator="containsText" text="Laboratory">
      <formula>NOT(ISERROR(SEARCH("Laboratory",W27)))</formula>
    </cfRule>
    <cfRule type="containsText" dxfId="488" priority="1147" operator="containsText" text="Odor Control">
      <formula>NOT(ISERROR(SEARCH("Odor Control",W27)))</formula>
    </cfRule>
    <cfRule type="containsText" dxfId="487" priority="1148" operator="containsText" text="Ferric">
      <formula>NOT(ISERROR(SEARCH("Ferric",W27)))</formula>
    </cfRule>
    <cfRule type="containsText" dxfId="486" priority="1149" operator="containsText" text="Chlorine">
      <formula>NOT(ISERROR(SEARCH("Chlorine",W27)))</formula>
    </cfRule>
    <cfRule type="containsText" dxfId="485" priority="1150" operator="containsText" text="Potable">
      <formula>NOT(ISERROR(SEARCH("Potable",W27)))</formula>
    </cfRule>
    <cfRule type="containsText" dxfId="484" priority="1151" operator="containsText" text="Natural Gas">
      <formula>NOT(ISERROR(SEARCH("Natural Gas",W27)))</formula>
    </cfRule>
    <cfRule type="containsText" dxfId="483" priority="1152" operator="containsText" text="Electricity">
      <formula>NOT(ISERROR(SEARCH("Electricity",W27)))</formula>
    </cfRule>
    <cfRule type="containsText" dxfId="482" priority="1153" operator="containsText" text="Single Area">
      <formula>NOT(ISERROR(SEARCH("Single Area",W27)))</formula>
    </cfRule>
    <cfRule type="containsText" dxfId="481" priority="1154" operator="containsText" text="Actual Use">
      <formula>NOT(ISERROR(SEARCH("Actual Use",W27)))</formula>
    </cfRule>
    <cfRule type="containsText" dxfId="480" priority="1155" operator="containsText" text="Labor -">
      <formula>NOT(ISERROR(SEARCH("Labor -",W27)))</formula>
    </cfRule>
  </conditionalFormatting>
  <conditionalFormatting sqref="V44">
    <cfRule type="containsText" dxfId="479" priority="1126" operator="containsText" text="Insurance">
      <formula>NOT(ISERROR(SEARCH("Insurance",V44)))</formula>
    </cfRule>
    <cfRule type="containsText" dxfId="478" priority="1127" operator="containsText" text="Region 9">
      <formula>NOT(ISERROR(SEARCH("Region 9",V44)))</formula>
    </cfRule>
    <cfRule type="containsText" dxfId="477" priority="1128" operator="containsText" text="ETM">
      <formula>NOT(ISERROR(SEARCH("ETM",V44)))</formula>
    </cfRule>
    <cfRule type="containsText" dxfId="476" priority="1129" operator="containsText" text="Outfall">
      <formula>NOT(ISERROR(SEARCH("Outfall",V44)))</formula>
    </cfRule>
    <cfRule type="containsText" dxfId="475" priority="1130" operator="containsText" text="Petroleum">
      <formula>NOT(ISERROR(SEARCH("Petroleum",V44)))</formula>
    </cfRule>
    <cfRule type="containsText" dxfId="474" priority="1131" operator="containsText" text="Laboratory">
      <formula>NOT(ISERROR(SEARCH("Laboratory",V44)))</formula>
    </cfRule>
    <cfRule type="containsText" dxfId="473" priority="1132" operator="containsText" text="Odor Control">
      <formula>NOT(ISERROR(SEARCH("Odor Control",V44)))</formula>
    </cfRule>
    <cfRule type="containsText" dxfId="472" priority="1133" operator="containsText" text="Ferric">
      <formula>NOT(ISERROR(SEARCH("Ferric",V44)))</formula>
    </cfRule>
    <cfRule type="containsText" dxfId="471" priority="1134" operator="containsText" text="Chlorine">
      <formula>NOT(ISERROR(SEARCH("Chlorine",V44)))</formula>
    </cfRule>
    <cfRule type="containsText" dxfId="470" priority="1135" operator="containsText" text="Potable">
      <formula>NOT(ISERROR(SEARCH("Potable",V44)))</formula>
    </cfRule>
    <cfRule type="containsText" dxfId="469" priority="1136" operator="containsText" text="Natural Gas">
      <formula>NOT(ISERROR(SEARCH("Natural Gas",V44)))</formula>
    </cfRule>
    <cfRule type="containsText" dxfId="468" priority="1137" operator="containsText" text="Electricity">
      <formula>NOT(ISERROR(SEARCH("Electricity",V44)))</formula>
    </cfRule>
    <cfRule type="containsText" dxfId="467" priority="1138" operator="containsText" text="Single Area">
      <formula>NOT(ISERROR(SEARCH("Single Area",V44)))</formula>
    </cfRule>
    <cfRule type="containsText" dxfId="466" priority="1139" operator="containsText" text="Actual Use">
      <formula>NOT(ISERROR(SEARCH("Actual Use",V44)))</formula>
    </cfRule>
    <cfRule type="containsText" dxfId="465" priority="1140" operator="containsText" text="Labor -">
      <formula>NOT(ISERROR(SEARCH("Labor -",V44)))</formula>
    </cfRule>
  </conditionalFormatting>
  <conditionalFormatting sqref="V21">
    <cfRule type="containsText" dxfId="464" priority="1111" operator="containsText" text="Insurance">
      <formula>NOT(ISERROR(SEARCH("Insurance",V21)))</formula>
    </cfRule>
    <cfRule type="containsText" dxfId="463" priority="1112" operator="containsText" text="Region 9">
      <formula>NOT(ISERROR(SEARCH("Region 9",V21)))</formula>
    </cfRule>
    <cfRule type="containsText" dxfId="462" priority="1113" operator="containsText" text="ETM">
      <formula>NOT(ISERROR(SEARCH("ETM",V21)))</formula>
    </cfRule>
    <cfRule type="containsText" dxfId="461" priority="1114" operator="containsText" text="Outfall">
      <formula>NOT(ISERROR(SEARCH("Outfall",V21)))</formula>
    </cfRule>
    <cfRule type="containsText" dxfId="460" priority="1115" operator="containsText" text="Petroleum">
      <formula>NOT(ISERROR(SEARCH("Petroleum",V21)))</formula>
    </cfRule>
    <cfRule type="containsText" dxfId="459" priority="1116" operator="containsText" text="Laboratory">
      <formula>NOT(ISERROR(SEARCH("Laboratory",V21)))</formula>
    </cfRule>
    <cfRule type="containsText" dxfId="458" priority="1117" operator="containsText" text="Odor Control">
      <formula>NOT(ISERROR(SEARCH("Odor Control",V21)))</formula>
    </cfRule>
    <cfRule type="containsText" dxfId="457" priority="1118" operator="containsText" text="Ferric">
      <formula>NOT(ISERROR(SEARCH("Ferric",V21)))</formula>
    </cfRule>
    <cfRule type="containsText" dxfId="456" priority="1119" operator="containsText" text="Chlorine">
      <formula>NOT(ISERROR(SEARCH("Chlorine",V21)))</formula>
    </cfRule>
    <cfRule type="containsText" dxfId="455" priority="1120" operator="containsText" text="Potable">
      <formula>NOT(ISERROR(SEARCH("Potable",V21)))</formula>
    </cfRule>
    <cfRule type="containsText" dxfId="454" priority="1121" operator="containsText" text="Natural Gas">
      <formula>NOT(ISERROR(SEARCH("Natural Gas",V21)))</formula>
    </cfRule>
    <cfRule type="containsText" dxfId="453" priority="1122" operator="containsText" text="Electricity">
      <formula>NOT(ISERROR(SEARCH("Electricity",V21)))</formula>
    </cfRule>
    <cfRule type="containsText" dxfId="452" priority="1123" operator="containsText" text="Single Area">
      <formula>NOT(ISERROR(SEARCH("Single Area",V21)))</formula>
    </cfRule>
    <cfRule type="containsText" dxfId="451" priority="1124" operator="containsText" text="Actual Use">
      <formula>NOT(ISERROR(SEARCH("Actual Use",V21)))</formula>
    </cfRule>
    <cfRule type="containsText" dxfId="450" priority="1125" operator="containsText" text="Labor -">
      <formula>NOT(ISERROR(SEARCH("Labor -",V21)))</formula>
    </cfRule>
  </conditionalFormatting>
  <conditionalFormatting sqref="T67">
    <cfRule type="containsText" dxfId="449" priority="826" operator="containsText" text="Insurance">
      <formula>NOT(ISERROR(SEARCH("Insurance",T67)))</formula>
    </cfRule>
    <cfRule type="containsText" dxfId="448" priority="827" operator="containsText" text="Region 9">
      <formula>NOT(ISERROR(SEARCH("Region 9",T67)))</formula>
    </cfRule>
    <cfRule type="containsText" dxfId="447" priority="828" operator="containsText" text="ETM">
      <formula>NOT(ISERROR(SEARCH("ETM",T67)))</formula>
    </cfRule>
    <cfRule type="containsText" dxfId="446" priority="829" operator="containsText" text="Outfall">
      <formula>NOT(ISERROR(SEARCH("Outfall",T67)))</formula>
    </cfRule>
    <cfRule type="containsText" dxfId="445" priority="830" operator="containsText" text="Petroleum">
      <formula>NOT(ISERROR(SEARCH("Petroleum",T67)))</formula>
    </cfRule>
    <cfRule type="containsText" dxfId="444" priority="831" operator="containsText" text="Laboratory">
      <formula>NOT(ISERROR(SEARCH("Laboratory",T67)))</formula>
    </cfRule>
    <cfRule type="containsText" dxfId="443" priority="832" operator="containsText" text="Odor Control">
      <formula>NOT(ISERROR(SEARCH("Odor Control",T67)))</formula>
    </cfRule>
    <cfRule type="containsText" dxfId="442" priority="833" operator="containsText" text="Ferric">
      <formula>NOT(ISERROR(SEARCH("Ferric",T67)))</formula>
    </cfRule>
    <cfRule type="containsText" dxfId="441" priority="834" operator="containsText" text="Chlorine">
      <formula>NOT(ISERROR(SEARCH("Chlorine",T67)))</formula>
    </cfRule>
    <cfRule type="containsText" dxfId="440" priority="835" operator="containsText" text="Potable">
      <formula>NOT(ISERROR(SEARCH("Potable",T67)))</formula>
    </cfRule>
    <cfRule type="containsText" dxfId="439" priority="836" operator="containsText" text="Natural Gas">
      <formula>NOT(ISERROR(SEARCH("Natural Gas",T67)))</formula>
    </cfRule>
    <cfRule type="containsText" dxfId="438" priority="837" operator="containsText" text="Electricity">
      <formula>NOT(ISERROR(SEARCH("Electricity",T67)))</formula>
    </cfRule>
    <cfRule type="containsText" dxfId="437" priority="838" operator="containsText" text="Single Area">
      <formula>NOT(ISERROR(SEARCH("Single Area",T67)))</formula>
    </cfRule>
    <cfRule type="containsText" dxfId="436" priority="839" operator="containsText" text="Actual Use">
      <formula>NOT(ISERROR(SEARCH("Actual Use",T67)))</formula>
    </cfRule>
    <cfRule type="containsText" dxfId="435" priority="840" operator="containsText" text="Labor -">
      <formula>NOT(ISERROR(SEARCH("Labor -",T67)))</formula>
    </cfRule>
  </conditionalFormatting>
  <conditionalFormatting sqref="T75">
    <cfRule type="containsText" dxfId="434" priority="781" operator="containsText" text="Insurance">
      <formula>NOT(ISERROR(SEARCH("Insurance",T75)))</formula>
    </cfRule>
    <cfRule type="containsText" dxfId="433" priority="782" operator="containsText" text="Region 9">
      <formula>NOT(ISERROR(SEARCH("Region 9",T75)))</formula>
    </cfRule>
    <cfRule type="containsText" dxfId="432" priority="783" operator="containsText" text="ETM">
      <formula>NOT(ISERROR(SEARCH("ETM",T75)))</formula>
    </cfRule>
    <cfRule type="containsText" dxfId="431" priority="784" operator="containsText" text="Outfall">
      <formula>NOT(ISERROR(SEARCH("Outfall",T75)))</formula>
    </cfRule>
    <cfRule type="containsText" dxfId="430" priority="785" operator="containsText" text="Petroleum">
      <formula>NOT(ISERROR(SEARCH("Petroleum",T75)))</formula>
    </cfRule>
    <cfRule type="containsText" dxfId="429" priority="786" operator="containsText" text="Laboratory">
      <formula>NOT(ISERROR(SEARCH("Laboratory",T75)))</formula>
    </cfRule>
    <cfRule type="containsText" dxfId="428" priority="787" operator="containsText" text="Odor Control">
      <formula>NOT(ISERROR(SEARCH("Odor Control",T75)))</formula>
    </cfRule>
    <cfRule type="containsText" dxfId="427" priority="788" operator="containsText" text="Ferric">
      <formula>NOT(ISERROR(SEARCH("Ferric",T75)))</formula>
    </cfRule>
    <cfRule type="containsText" dxfId="426" priority="789" operator="containsText" text="Chlorine">
      <formula>NOT(ISERROR(SEARCH("Chlorine",T75)))</formula>
    </cfRule>
    <cfRule type="containsText" dxfId="425" priority="790" operator="containsText" text="Potable">
      <formula>NOT(ISERROR(SEARCH("Potable",T75)))</formula>
    </cfRule>
    <cfRule type="containsText" dxfId="424" priority="791" operator="containsText" text="Natural Gas">
      <formula>NOT(ISERROR(SEARCH("Natural Gas",T75)))</formula>
    </cfRule>
    <cfRule type="containsText" dxfId="423" priority="792" operator="containsText" text="Electricity">
      <formula>NOT(ISERROR(SEARCH("Electricity",T75)))</formula>
    </cfRule>
    <cfRule type="containsText" dxfId="422" priority="793" operator="containsText" text="Single Area">
      <formula>NOT(ISERROR(SEARCH("Single Area",T75)))</formula>
    </cfRule>
    <cfRule type="containsText" dxfId="421" priority="794" operator="containsText" text="Actual Use">
      <formula>NOT(ISERROR(SEARCH("Actual Use",T75)))</formula>
    </cfRule>
    <cfRule type="containsText" dxfId="420" priority="795" operator="containsText" text="Labor -">
      <formula>NOT(ISERROR(SEARCH("Labor -",T75)))</formula>
    </cfRule>
  </conditionalFormatting>
  <conditionalFormatting sqref="T77">
    <cfRule type="containsText" dxfId="419" priority="736" operator="containsText" text="Insurance">
      <formula>NOT(ISERROR(SEARCH("Insurance",T77)))</formula>
    </cfRule>
    <cfRule type="containsText" dxfId="418" priority="737" operator="containsText" text="Region 9">
      <formula>NOT(ISERROR(SEARCH("Region 9",T77)))</formula>
    </cfRule>
    <cfRule type="containsText" dxfId="417" priority="738" operator="containsText" text="ETM">
      <formula>NOT(ISERROR(SEARCH("ETM",T77)))</formula>
    </cfRule>
    <cfRule type="containsText" dxfId="416" priority="739" operator="containsText" text="Outfall">
      <formula>NOT(ISERROR(SEARCH("Outfall",T77)))</formula>
    </cfRule>
    <cfRule type="containsText" dxfId="415" priority="740" operator="containsText" text="Petroleum">
      <formula>NOT(ISERROR(SEARCH("Petroleum",T77)))</formula>
    </cfRule>
    <cfRule type="containsText" dxfId="414" priority="741" operator="containsText" text="Laboratory">
      <formula>NOT(ISERROR(SEARCH("Laboratory",T77)))</formula>
    </cfRule>
    <cfRule type="containsText" dxfId="413" priority="742" operator="containsText" text="Odor Control">
      <formula>NOT(ISERROR(SEARCH("Odor Control",T77)))</formula>
    </cfRule>
    <cfRule type="containsText" dxfId="412" priority="743" operator="containsText" text="Ferric">
      <formula>NOT(ISERROR(SEARCH("Ferric",T77)))</formula>
    </cfRule>
    <cfRule type="containsText" dxfId="411" priority="744" operator="containsText" text="Chlorine">
      <formula>NOT(ISERROR(SEARCH("Chlorine",T77)))</formula>
    </cfRule>
    <cfRule type="containsText" dxfId="410" priority="745" operator="containsText" text="Potable">
      <formula>NOT(ISERROR(SEARCH("Potable",T77)))</formula>
    </cfRule>
    <cfRule type="containsText" dxfId="409" priority="746" operator="containsText" text="Natural Gas">
      <formula>NOT(ISERROR(SEARCH("Natural Gas",T77)))</formula>
    </cfRule>
    <cfRule type="containsText" dxfId="408" priority="747" operator="containsText" text="Electricity">
      <formula>NOT(ISERROR(SEARCH("Electricity",T77)))</formula>
    </cfRule>
    <cfRule type="containsText" dxfId="407" priority="748" operator="containsText" text="Single Area">
      <formula>NOT(ISERROR(SEARCH("Single Area",T77)))</formula>
    </cfRule>
    <cfRule type="containsText" dxfId="406" priority="749" operator="containsText" text="Actual Use">
      <formula>NOT(ISERROR(SEARCH("Actual Use",T77)))</formula>
    </cfRule>
    <cfRule type="containsText" dxfId="405" priority="750" operator="containsText" text="Labor -">
      <formula>NOT(ISERROR(SEARCH("Labor -",T77)))</formula>
    </cfRule>
  </conditionalFormatting>
  <conditionalFormatting sqref="T79">
    <cfRule type="containsText" dxfId="404" priority="751" operator="containsText" text="Insurance">
      <formula>NOT(ISERROR(SEARCH("Insurance",T79)))</formula>
    </cfRule>
    <cfRule type="containsText" dxfId="403" priority="752" operator="containsText" text="Region 9">
      <formula>NOT(ISERROR(SEARCH("Region 9",T79)))</formula>
    </cfRule>
    <cfRule type="containsText" dxfId="402" priority="753" operator="containsText" text="ETM">
      <formula>NOT(ISERROR(SEARCH("ETM",T79)))</formula>
    </cfRule>
    <cfRule type="containsText" dxfId="401" priority="754" operator="containsText" text="Outfall">
      <formula>NOT(ISERROR(SEARCH("Outfall",T79)))</formula>
    </cfRule>
    <cfRule type="containsText" dxfId="400" priority="755" operator="containsText" text="Petroleum">
      <formula>NOT(ISERROR(SEARCH("Petroleum",T79)))</formula>
    </cfRule>
    <cfRule type="containsText" dxfId="399" priority="756" operator="containsText" text="Laboratory">
      <formula>NOT(ISERROR(SEARCH("Laboratory",T79)))</formula>
    </cfRule>
    <cfRule type="containsText" dxfId="398" priority="757" operator="containsText" text="Odor Control">
      <formula>NOT(ISERROR(SEARCH("Odor Control",T79)))</formula>
    </cfRule>
    <cfRule type="containsText" dxfId="397" priority="758" operator="containsText" text="Ferric">
      <formula>NOT(ISERROR(SEARCH("Ferric",T79)))</formula>
    </cfRule>
    <cfRule type="containsText" dxfId="396" priority="759" operator="containsText" text="Chlorine">
      <formula>NOT(ISERROR(SEARCH("Chlorine",T79)))</formula>
    </cfRule>
    <cfRule type="containsText" dxfId="395" priority="760" operator="containsText" text="Potable">
      <formula>NOT(ISERROR(SEARCH("Potable",T79)))</formula>
    </cfRule>
    <cfRule type="containsText" dxfId="394" priority="761" operator="containsText" text="Natural Gas">
      <formula>NOT(ISERROR(SEARCH("Natural Gas",T79)))</formula>
    </cfRule>
    <cfRule type="containsText" dxfId="393" priority="762" operator="containsText" text="Electricity">
      <formula>NOT(ISERROR(SEARCH("Electricity",T79)))</formula>
    </cfRule>
    <cfRule type="containsText" dxfId="392" priority="763" operator="containsText" text="Single Area">
      <formula>NOT(ISERROR(SEARCH("Single Area",T79)))</formula>
    </cfRule>
    <cfRule type="containsText" dxfId="391" priority="764" operator="containsText" text="Actual Use">
      <formula>NOT(ISERROR(SEARCH("Actual Use",T79)))</formula>
    </cfRule>
    <cfRule type="containsText" dxfId="390" priority="765" operator="containsText" text="Labor -">
      <formula>NOT(ISERROR(SEARCH("Labor -",T79)))</formula>
    </cfRule>
  </conditionalFormatting>
  <conditionalFormatting sqref="V75">
    <cfRule type="containsText" dxfId="389" priority="766" operator="containsText" text="Insurance">
      <formula>NOT(ISERROR(SEARCH("Insurance",V75)))</formula>
    </cfRule>
    <cfRule type="containsText" dxfId="388" priority="767" operator="containsText" text="Region 9">
      <formula>NOT(ISERROR(SEARCH("Region 9",V75)))</formula>
    </cfRule>
    <cfRule type="containsText" dxfId="387" priority="768" operator="containsText" text="ETM">
      <formula>NOT(ISERROR(SEARCH("ETM",V75)))</formula>
    </cfRule>
    <cfRule type="containsText" dxfId="386" priority="769" operator="containsText" text="Outfall">
      <formula>NOT(ISERROR(SEARCH("Outfall",V75)))</formula>
    </cfRule>
    <cfRule type="containsText" dxfId="385" priority="770" operator="containsText" text="Petroleum">
      <formula>NOT(ISERROR(SEARCH("Petroleum",V75)))</formula>
    </cfRule>
    <cfRule type="containsText" dxfId="384" priority="771" operator="containsText" text="Laboratory">
      <formula>NOT(ISERROR(SEARCH("Laboratory",V75)))</formula>
    </cfRule>
    <cfRule type="containsText" dxfId="383" priority="772" operator="containsText" text="Odor Control">
      <formula>NOT(ISERROR(SEARCH("Odor Control",V75)))</formula>
    </cfRule>
    <cfRule type="containsText" dxfId="382" priority="773" operator="containsText" text="Ferric">
      <formula>NOT(ISERROR(SEARCH("Ferric",V75)))</formula>
    </cfRule>
    <cfRule type="containsText" dxfId="381" priority="774" operator="containsText" text="Chlorine">
      <formula>NOT(ISERROR(SEARCH("Chlorine",V75)))</formula>
    </cfRule>
    <cfRule type="containsText" dxfId="380" priority="775" operator="containsText" text="Potable">
      <formula>NOT(ISERROR(SEARCH("Potable",V75)))</formula>
    </cfRule>
    <cfRule type="containsText" dxfId="379" priority="776" operator="containsText" text="Natural Gas">
      <formula>NOT(ISERROR(SEARCH("Natural Gas",V75)))</formula>
    </cfRule>
    <cfRule type="containsText" dxfId="378" priority="777" operator="containsText" text="Electricity">
      <formula>NOT(ISERROR(SEARCH("Electricity",V75)))</formula>
    </cfRule>
    <cfRule type="containsText" dxfId="377" priority="778" operator="containsText" text="Single Area">
      <formula>NOT(ISERROR(SEARCH("Single Area",V75)))</formula>
    </cfRule>
    <cfRule type="containsText" dxfId="376" priority="779" operator="containsText" text="Actual Use">
      <formula>NOT(ISERROR(SEARCH("Actual Use",V75)))</formula>
    </cfRule>
    <cfRule type="containsText" dxfId="375" priority="780" operator="containsText" text="Labor -">
      <formula>NOT(ISERROR(SEARCH("Labor -",V75)))</formula>
    </cfRule>
  </conditionalFormatting>
  <conditionalFormatting sqref="T48">
    <cfRule type="containsText" dxfId="374" priority="1036" operator="containsText" text="Insurance">
      <formula>NOT(ISERROR(SEARCH("Insurance",T48)))</formula>
    </cfRule>
    <cfRule type="containsText" dxfId="373" priority="1037" operator="containsText" text="Region 9">
      <formula>NOT(ISERROR(SEARCH("Region 9",T48)))</formula>
    </cfRule>
    <cfRule type="containsText" dxfId="372" priority="1038" operator="containsText" text="ETM">
      <formula>NOT(ISERROR(SEARCH("ETM",T48)))</formula>
    </cfRule>
    <cfRule type="containsText" dxfId="371" priority="1039" operator="containsText" text="Outfall">
      <formula>NOT(ISERROR(SEARCH("Outfall",T48)))</formula>
    </cfRule>
    <cfRule type="containsText" dxfId="370" priority="1040" operator="containsText" text="Petroleum">
      <formula>NOT(ISERROR(SEARCH("Petroleum",T48)))</formula>
    </cfRule>
    <cfRule type="containsText" dxfId="369" priority="1041" operator="containsText" text="Laboratory">
      <formula>NOT(ISERROR(SEARCH("Laboratory",T48)))</formula>
    </cfRule>
    <cfRule type="containsText" dxfId="368" priority="1042" operator="containsText" text="Odor Control">
      <formula>NOT(ISERROR(SEARCH("Odor Control",T48)))</formula>
    </cfRule>
    <cfRule type="containsText" dxfId="367" priority="1043" operator="containsText" text="Ferric">
      <formula>NOT(ISERROR(SEARCH("Ferric",T48)))</formula>
    </cfRule>
    <cfRule type="containsText" dxfId="366" priority="1044" operator="containsText" text="Chlorine">
      <formula>NOT(ISERROR(SEARCH("Chlorine",T48)))</formula>
    </cfRule>
    <cfRule type="containsText" dxfId="365" priority="1045" operator="containsText" text="Potable">
      <formula>NOT(ISERROR(SEARCH("Potable",T48)))</formula>
    </cfRule>
    <cfRule type="containsText" dxfId="364" priority="1046" operator="containsText" text="Natural Gas">
      <formula>NOT(ISERROR(SEARCH("Natural Gas",T48)))</formula>
    </cfRule>
    <cfRule type="containsText" dxfId="363" priority="1047" operator="containsText" text="Electricity">
      <formula>NOT(ISERROR(SEARCH("Electricity",T48)))</formula>
    </cfRule>
    <cfRule type="containsText" dxfId="362" priority="1048" operator="containsText" text="Single Area">
      <formula>NOT(ISERROR(SEARCH("Single Area",T48)))</formula>
    </cfRule>
    <cfRule type="containsText" dxfId="361" priority="1049" operator="containsText" text="Actual Use">
      <formula>NOT(ISERROR(SEARCH("Actual Use",T48)))</formula>
    </cfRule>
    <cfRule type="containsText" dxfId="360" priority="1050" operator="containsText" text="Labor -">
      <formula>NOT(ISERROR(SEARCH("Labor -",T48)))</formula>
    </cfRule>
  </conditionalFormatting>
  <conditionalFormatting sqref="T49:T50">
    <cfRule type="containsText" dxfId="359" priority="1021" operator="containsText" text="Insurance">
      <formula>NOT(ISERROR(SEARCH("Insurance",T49)))</formula>
    </cfRule>
    <cfRule type="containsText" dxfId="358" priority="1022" operator="containsText" text="Region 9">
      <formula>NOT(ISERROR(SEARCH("Region 9",T49)))</formula>
    </cfRule>
    <cfRule type="containsText" dxfId="357" priority="1023" operator="containsText" text="ETM">
      <formula>NOT(ISERROR(SEARCH("ETM",T49)))</formula>
    </cfRule>
    <cfRule type="containsText" dxfId="356" priority="1024" operator="containsText" text="Outfall">
      <formula>NOT(ISERROR(SEARCH("Outfall",T49)))</formula>
    </cfRule>
    <cfRule type="containsText" dxfId="355" priority="1025" operator="containsText" text="Petroleum">
      <formula>NOT(ISERROR(SEARCH("Petroleum",T49)))</formula>
    </cfRule>
    <cfRule type="containsText" dxfId="354" priority="1026" operator="containsText" text="Laboratory">
      <formula>NOT(ISERROR(SEARCH("Laboratory",T49)))</formula>
    </cfRule>
    <cfRule type="containsText" dxfId="353" priority="1027" operator="containsText" text="Odor Control">
      <formula>NOT(ISERROR(SEARCH("Odor Control",T49)))</formula>
    </cfRule>
    <cfRule type="containsText" dxfId="352" priority="1028" operator="containsText" text="Ferric">
      <formula>NOT(ISERROR(SEARCH("Ferric",T49)))</formula>
    </cfRule>
    <cfRule type="containsText" dxfId="351" priority="1029" operator="containsText" text="Chlorine">
      <formula>NOT(ISERROR(SEARCH("Chlorine",T49)))</formula>
    </cfRule>
    <cfRule type="containsText" dxfId="350" priority="1030" operator="containsText" text="Potable">
      <formula>NOT(ISERROR(SEARCH("Potable",T49)))</formula>
    </cfRule>
    <cfRule type="containsText" dxfId="349" priority="1031" operator="containsText" text="Natural Gas">
      <formula>NOT(ISERROR(SEARCH("Natural Gas",T49)))</formula>
    </cfRule>
    <cfRule type="containsText" dxfId="348" priority="1032" operator="containsText" text="Electricity">
      <formula>NOT(ISERROR(SEARCH("Electricity",T49)))</formula>
    </cfRule>
    <cfRule type="containsText" dxfId="347" priority="1033" operator="containsText" text="Single Area">
      <formula>NOT(ISERROR(SEARCH("Single Area",T49)))</formula>
    </cfRule>
    <cfRule type="containsText" dxfId="346" priority="1034" operator="containsText" text="Actual Use">
      <formula>NOT(ISERROR(SEARCH("Actual Use",T49)))</formula>
    </cfRule>
    <cfRule type="containsText" dxfId="345" priority="1035" operator="containsText" text="Labor -">
      <formula>NOT(ISERROR(SEARCH("Labor -",T49)))</formula>
    </cfRule>
  </conditionalFormatting>
  <conditionalFormatting sqref="T12:T13">
    <cfRule type="containsText" dxfId="344" priority="976" operator="containsText" text="Insurance">
      <formula>NOT(ISERROR(SEARCH("Insurance",T12)))</formula>
    </cfRule>
    <cfRule type="containsText" dxfId="343" priority="977" operator="containsText" text="Region 9">
      <formula>NOT(ISERROR(SEARCH("Region 9",T12)))</formula>
    </cfRule>
    <cfRule type="containsText" dxfId="342" priority="978" operator="containsText" text="ETM">
      <formula>NOT(ISERROR(SEARCH("ETM",T12)))</formula>
    </cfRule>
    <cfRule type="containsText" dxfId="341" priority="979" operator="containsText" text="Outfall">
      <formula>NOT(ISERROR(SEARCH("Outfall",T12)))</formula>
    </cfRule>
    <cfRule type="containsText" dxfId="340" priority="980" operator="containsText" text="Petroleum">
      <formula>NOT(ISERROR(SEARCH("Petroleum",T12)))</formula>
    </cfRule>
    <cfRule type="containsText" dxfId="339" priority="981" operator="containsText" text="Laboratory">
      <formula>NOT(ISERROR(SEARCH("Laboratory",T12)))</formula>
    </cfRule>
    <cfRule type="containsText" dxfId="338" priority="982" operator="containsText" text="Odor Control">
      <formula>NOT(ISERROR(SEARCH("Odor Control",T12)))</formula>
    </cfRule>
    <cfRule type="containsText" dxfId="337" priority="983" operator="containsText" text="Ferric">
      <formula>NOT(ISERROR(SEARCH("Ferric",T12)))</formula>
    </cfRule>
    <cfRule type="containsText" dxfId="336" priority="984" operator="containsText" text="Chlorine">
      <formula>NOT(ISERROR(SEARCH("Chlorine",T12)))</formula>
    </cfRule>
    <cfRule type="containsText" dxfId="335" priority="985" operator="containsText" text="Potable">
      <formula>NOT(ISERROR(SEARCH("Potable",T12)))</formula>
    </cfRule>
    <cfRule type="containsText" dxfId="334" priority="986" operator="containsText" text="Natural Gas">
      <formula>NOT(ISERROR(SEARCH("Natural Gas",T12)))</formula>
    </cfRule>
    <cfRule type="containsText" dxfId="333" priority="987" operator="containsText" text="Electricity">
      <formula>NOT(ISERROR(SEARCH("Electricity",T12)))</formula>
    </cfRule>
    <cfRule type="containsText" dxfId="332" priority="988" operator="containsText" text="Single Area">
      <formula>NOT(ISERROR(SEARCH("Single Area",T12)))</formula>
    </cfRule>
    <cfRule type="containsText" dxfId="331" priority="989" operator="containsText" text="Actual Use">
      <formula>NOT(ISERROR(SEARCH("Actual Use",T12)))</formula>
    </cfRule>
    <cfRule type="containsText" dxfId="330" priority="990" operator="containsText" text="Labor -">
      <formula>NOT(ISERROR(SEARCH("Labor -",T12)))</formula>
    </cfRule>
  </conditionalFormatting>
  <conditionalFormatting sqref="T4:T11">
    <cfRule type="containsText" dxfId="329" priority="991" operator="containsText" text="Insurance">
      <formula>NOT(ISERROR(SEARCH("Insurance",T4)))</formula>
    </cfRule>
    <cfRule type="containsText" dxfId="328" priority="992" operator="containsText" text="Region 9">
      <formula>NOT(ISERROR(SEARCH("Region 9",T4)))</formula>
    </cfRule>
    <cfRule type="containsText" dxfId="327" priority="993" operator="containsText" text="ETM">
      <formula>NOT(ISERROR(SEARCH("ETM",T4)))</formula>
    </cfRule>
    <cfRule type="containsText" dxfId="326" priority="994" operator="containsText" text="Outfall">
      <formula>NOT(ISERROR(SEARCH("Outfall",T4)))</formula>
    </cfRule>
    <cfRule type="containsText" dxfId="325" priority="995" operator="containsText" text="Petroleum">
      <formula>NOT(ISERROR(SEARCH("Petroleum",T4)))</formula>
    </cfRule>
    <cfRule type="containsText" dxfId="324" priority="996" operator="containsText" text="Laboratory">
      <formula>NOT(ISERROR(SEARCH("Laboratory",T4)))</formula>
    </cfRule>
    <cfRule type="containsText" dxfId="323" priority="997" operator="containsText" text="Odor Control">
      <formula>NOT(ISERROR(SEARCH("Odor Control",T4)))</formula>
    </cfRule>
    <cfRule type="containsText" dxfId="322" priority="998" operator="containsText" text="Ferric">
      <formula>NOT(ISERROR(SEARCH("Ferric",T4)))</formula>
    </cfRule>
    <cfRule type="containsText" dxfId="321" priority="999" operator="containsText" text="Chlorine">
      <formula>NOT(ISERROR(SEARCH("Chlorine",T4)))</formula>
    </cfRule>
    <cfRule type="containsText" dxfId="320" priority="1000" operator="containsText" text="Potable">
      <formula>NOT(ISERROR(SEARCH("Potable",T4)))</formula>
    </cfRule>
    <cfRule type="containsText" dxfId="319" priority="1001" operator="containsText" text="Natural Gas">
      <formula>NOT(ISERROR(SEARCH("Natural Gas",T4)))</formula>
    </cfRule>
    <cfRule type="containsText" dxfId="318" priority="1002" operator="containsText" text="Electricity">
      <formula>NOT(ISERROR(SEARCH("Electricity",T4)))</formula>
    </cfRule>
    <cfRule type="containsText" dxfId="317" priority="1003" operator="containsText" text="Single Area">
      <formula>NOT(ISERROR(SEARCH("Single Area",T4)))</formula>
    </cfRule>
    <cfRule type="containsText" dxfId="316" priority="1004" operator="containsText" text="Actual Use">
      <formula>NOT(ISERROR(SEARCH("Actual Use",T4)))</formula>
    </cfRule>
    <cfRule type="containsText" dxfId="315" priority="1005" operator="containsText" text="Labor -">
      <formula>NOT(ISERROR(SEARCH("Labor -",T4)))</formula>
    </cfRule>
  </conditionalFormatting>
  <conditionalFormatting sqref="T24">
    <cfRule type="containsText" dxfId="314" priority="961" operator="containsText" text="Insurance">
      <formula>NOT(ISERROR(SEARCH("Insurance",T24)))</formula>
    </cfRule>
    <cfRule type="containsText" dxfId="313" priority="962" operator="containsText" text="Region 9">
      <formula>NOT(ISERROR(SEARCH("Region 9",T24)))</formula>
    </cfRule>
    <cfRule type="containsText" dxfId="312" priority="963" operator="containsText" text="ETM">
      <formula>NOT(ISERROR(SEARCH("ETM",T24)))</formula>
    </cfRule>
    <cfRule type="containsText" dxfId="311" priority="964" operator="containsText" text="Outfall">
      <formula>NOT(ISERROR(SEARCH("Outfall",T24)))</formula>
    </cfRule>
    <cfRule type="containsText" dxfId="310" priority="965" operator="containsText" text="Petroleum">
      <formula>NOT(ISERROR(SEARCH("Petroleum",T24)))</formula>
    </cfRule>
    <cfRule type="containsText" dxfId="309" priority="966" operator="containsText" text="Laboratory">
      <formula>NOT(ISERROR(SEARCH("Laboratory",T24)))</formula>
    </cfRule>
    <cfRule type="containsText" dxfId="308" priority="967" operator="containsText" text="Odor Control">
      <formula>NOT(ISERROR(SEARCH("Odor Control",T24)))</formula>
    </cfRule>
    <cfRule type="containsText" dxfId="307" priority="968" operator="containsText" text="Ferric">
      <formula>NOT(ISERROR(SEARCH("Ferric",T24)))</formula>
    </cfRule>
    <cfRule type="containsText" dxfId="306" priority="969" operator="containsText" text="Chlorine">
      <formula>NOT(ISERROR(SEARCH("Chlorine",T24)))</formula>
    </cfRule>
    <cfRule type="containsText" dxfId="305" priority="970" operator="containsText" text="Potable">
      <formula>NOT(ISERROR(SEARCH("Potable",T24)))</formula>
    </cfRule>
    <cfRule type="containsText" dxfId="304" priority="971" operator="containsText" text="Natural Gas">
      <formula>NOT(ISERROR(SEARCH("Natural Gas",T24)))</formula>
    </cfRule>
    <cfRule type="containsText" dxfId="303" priority="972" operator="containsText" text="Electricity">
      <formula>NOT(ISERROR(SEARCH("Electricity",T24)))</formula>
    </cfRule>
    <cfRule type="containsText" dxfId="302" priority="973" operator="containsText" text="Single Area">
      <formula>NOT(ISERROR(SEARCH("Single Area",T24)))</formula>
    </cfRule>
    <cfRule type="containsText" dxfId="301" priority="974" operator="containsText" text="Actual Use">
      <formula>NOT(ISERROR(SEARCH("Actual Use",T24)))</formula>
    </cfRule>
    <cfRule type="containsText" dxfId="300" priority="975" operator="containsText" text="Labor -">
      <formula>NOT(ISERROR(SEARCH("Labor -",T24)))</formula>
    </cfRule>
  </conditionalFormatting>
  <conditionalFormatting sqref="T25">
    <cfRule type="containsText" dxfId="299" priority="946" operator="containsText" text="Insurance">
      <formula>NOT(ISERROR(SEARCH("Insurance",T25)))</formula>
    </cfRule>
    <cfRule type="containsText" dxfId="298" priority="947" operator="containsText" text="Region 9">
      <formula>NOT(ISERROR(SEARCH("Region 9",T25)))</formula>
    </cfRule>
    <cfRule type="containsText" dxfId="297" priority="948" operator="containsText" text="ETM">
      <formula>NOT(ISERROR(SEARCH("ETM",T25)))</formula>
    </cfRule>
    <cfRule type="containsText" dxfId="296" priority="949" operator="containsText" text="Outfall">
      <formula>NOT(ISERROR(SEARCH("Outfall",T25)))</formula>
    </cfRule>
    <cfRule type="containsText" dxfId="295" priority="950" operator="containsText" text="Petroleum">
      <formula>NOT(ISERROR(SEARCH("Petroleum",T25)))</formula>
    </cfRule>
    <cfRule type="containsText" dxfId="294" priority="951" operator="containsText" text="Laboratory">
      <formula>NOT(ISERROR(SEARCH("Laboratory",T25)))</formula>
    </cfRule>
    <cfRule type="containsText" dxfId="293" priority="952" operator="containsText" text="Odor Control">
      <formula>NOT(ISERROR(SEARCH("Odor Control",T25)))</formula>
    </cfRule>
    <cfRule type="containsText" dxfId="292" priority="953" operator="containsText" text="Ferric">
      <formula>NOT(ISERROR(SEARCH("Ferric",T25)))</formula>
    </cfRule>
    <cfRule type="containsText" dxfId="291" priority="954" operator="containsText" text="Chlorine">
      <formula>NOT(ISERROR(SEARCH("Chlorine",T25)))</formula>
    </cfRule>
    <cfRule type="containsText" dxfId="290" priority="955" operator="containsText" text="Potable">
      <formula>NOT(ISERROR(SEARCH("Potable",T25)))</formula>
    </cfRule>
    <cfRule type="containsText" dxfId="289" priority="956" operator="containsText" text="Natural Gas">
      <formula>NOT(ISERROR(SEARCH("Natural Gas",T25)))</formula>
    </cfRule>
    <cfRule type="containsText" dxfId="288" priority="957" operator="containsText" text="Electricity">
      <formula>NOT(ISERROR(SEARCH("Electricity",T25)))</formula>
    </cfRule>
    <cfRule type="containsText" dxfId="287" priority="958" operator="containsText" text="Single Area">
      <formula>NOT(ISERROR(SEARCH("Single Area",T25)))</formula>
    </cfRule>
    <cfRule type="containsText" dxfId="286" priority="959" operator="containsText" text="Actual Use">
      <formula>NOT(ISERROR(SEARCH("Actual Use",T25)))</formula>
    </cfRule>
    <cfRule type="containsText" dxfId="285" priority="960" operator="containsText" text="Labor -">
      <formula>NOT(ISERROR(SEARCH("Labor -",T25)))</formula>
    </cfRule>
  </conditionalFormatting>
  <conditionalFormatting sqref="T27">
    <cfRule type="containsText" dxfId="284" priority="931" operator="containsText" text="Insurance">
      <formula>NOT(ISERROR(SEARCH("Insurance",T27)))</formula>
    </cfRule>
    <cfRule type="containsText" dxfId="283" priority="932" operator="containsText" text="Region 9">
      <formula>NOT(ISERROR(SEARCH("Region 9",T27)))</formula>
    </cfRule>
    <cfRule type="containsText" dxfId="282" priority="933" operator="containsText" text="ETM">
      <formula>NOT(ISERROR(SEARCH("ETM",T27)))</formula>
    </cfRule>
    <cfRule type="containsText" dxfId="281" priority="934" operator="containsText" text="Outfall">
      <formula>NOT(ISERROR(SEARCH("Outfall",T27)))</formula>
    </cfRule>
    <cfRule type="containsText" dxfId="280" priority="935" operator="containsText" text="Petroleum">
      <formula>NOT(ISERROR(SEARCH("Petroleum",T27)))</formula>
    </cfRule>
    <cfRule type="containsText" dxfId="279" priority="936" operator="containsText" text="Laboratory">
      <formula>NOT(ISERROR(SEARCH("Laboratory",T27)))</formula>
    </cfRule>
    <cfRule type="containsText" dxfId="278" priority="937" operator="containsText" text="Odor Control">
      <formula>NOT(ISERROR(SEARCH("Odor Control",T27)))</formula>
    </cfRule>
    <cfRule type="containsText" dxfId="277" priority="938" operator="containsText" text="Ferric">
      <formula>NOT(ISERROR(SEARCH("Ferric",T27)))</formula>
    </cfRule>
    <cfRule type="containsText" dxfId="276" priority="939" operator="containsText" text="Chlorine">
      <formula>NOT(ISERROR(SEARCH("Chlorine",T27)))</formula>
    </cfRule>
    <cfRule type="containsText" dxfId="275" priority="940" operator="containsText" text="Potable">
      <formula>NOT(ISERROR(SEARCH("Potable",T27)))</formula>
    </cfRule>
    <cfRule type="containsText" dxfId="274" priority="941" operator="containsText" text="Natural Gas">
      <formula>NOT(ISERROR(SEARCH("Natural Gas",T27)))</formula>
    </cfRule>
    <cfRule type="containsText" dxfId="273" priority="942" operator="containsText" text="Electricity">
      <formula>NOT(ISERROR(SEARCH("Electricity",T27)))</formula>
    </cfRule>
    <cfRule type="containsText" dxfId="272" priority="943" operator="containsText" text="Single Area">
      <formula>NOT(ISERROR(SEARCH("Single Area",T27)))</formula>
    </cfRule>
    <cfRule type="containsText" dxfId="271" priority="944" operator="containsText" text="Actual Use">
      <formula>NOT(ISERROR(SEARCH("Actual Use",T27)))</formula>
    </cfRule>
    <cfRule type="containsText" dxfId="270" priority="945" operator="containsText" text="Labor -">
      <formula>NOT(ISERROR(SEARCH("Labor -",T27)))</formula>
    </cfRule>
  </conditionalFormatting>
  <conditionalFormatting sqref="T35">
    <cfRule type="containsText" dxfId="269" priority="916" operator="containsText" text="Insurance">
      <formula>NOT(ISERROR(SEARCH("Insurance",T35)))</formula>
    </cfRule>
    <cfRule type="containsText" dxfId="268" priority="917" operator="containsText" text="Region 9">
      <formula>NOT(ISERROR(SEARCH("Region 9",T35)))</formula>
    </cfRule>
    <cfRule type="containsText" dxfId="267" priority="918" operator="containsText" text="ETM">
      <formula>NOT(ISERROR(SEARCH("ETM",T35)))</formula>
    </cfRule>
    <cfRule type="containsText" dxfId="266" priority="919" operator="containsText" text="Outfall">
      <formula>NOT(ISERROR(SEARCH("Outfall",T35)))</formula>
    </cfRule>
    <cfRule type="containsText" dxfId="265" priority="920" operator="containsText" text="Petroleum">
      <formula>NOT(ISERROR(SEARCH("Petroleum",T35)))</formula>
    </cfRule>
    <cfRule type="containsText" dxfId="264" priority="921" operator="containsText" text="Laboratory">
      <formula>NOT(ISERROR(SEARCH("Laboratory",T35)))</formula>
    </cfRule>
    <cfRule type="containsText" dxfId="263" priority="922" operator="containsText" text="Odor Control">
      <formula>NOT(ISERROR(SEARCH("Odor Control",T35)))</formula>
    </cfRule>
    <cfRule type="containsText" dxfId="262" priority="923" operator="containsText" text="Ferric">
      <formula>NOT(ISERROR(SEARCH("Ferric",T35)))</formula>
    </cfRule>
    <cfRule type="containsText" dxfId="261" priority="924" operator="containsText" text="Chlorine">
      <formula>NOT(ISERROR(SEARCH("Chlorine",T35)))</formula>
    </cfRule>
    <cfRule type="containsText" dxfId="260" priority="925" operator="containsText" text="Potable">
      <formula>NOT(ISERROR(SEARCH("Potable",T35)))</formula>
    </cfRule>
    <cfRule type="containsText" dxfId="259" priority="926" operator="containsText" text="Natural Gas">
      <formula>NOT(ISERROR(SEARCH("Natural Gas",T35)))</formula>
    </cfRule>
    <cfRule type="containsText" dxfId="258" priority="927" operator="containsText" text="Electricity">
      <formula>NOT(ISERROR(SEARCH("Electricity",T35)))</formula>
    </cfRule>
    <cfRule type="containsText" dxfId="257" priority="928" operator="containsText" text="Single Area">
      <formula>NOT(ISERROR(SEARCH("Single Area",T35)))</formula>
    </cfRule>
    <cfRule type="containsText" dxfId="256" priority="929" operator="containsText" text="Actual Use">
      <formula>NOT(ISERROR(SEARCH("Actual Use",T35)))</formula>
    </cfRule>
    <cfRule type="containsText" dxfId="255" priority="930" operator="containsText" text="Labor -">
      <formula>NOT(ISERROR(SEARCH("Labor -",T35)))</formula>
    </cfRule>
  </conditionalFormatting>
  <conditionalFormatting sqref="T36">
    <cfRule type="containsText" dxfId="254" priority="901" operator="containsText" text="Insurance">
      <formula>NOT(ISERROR(SEARCH("Insurance",T36)))</formula>
    </cfRule>
    <cfRule type="containsText" dxfId="253" priority="902" operator="containsText" text="Region 9">
      <formula>NOT(ISERROR(SEARCH("Region 9",T36)))</formula>
    </cfRule>
    <cfRule type="containsText" dxfId="252" priority="903" operator="containsText" text="ETM">
      <formula>NOT(ISERROR(SEARCH("ETM",T36)))</formula>
    </cfRule>
    <cfRule type="containsText" dxfId="251" priority="904" operator="containsText" text="Outfall">
      <formula>NOT(ISERROR(SEARCH("Outfall",T36)))</formula>
    </cfRule>
    <cfRule type="containsText" dxfId="250" priority="905" operator="containsText" text="Petroleum">
      <formula>NOT(ISERROR(SEARCH("Petroleum",T36)))</formula>
    </cfRule>
    <cfRule type="containsText" dxfId="249" priority="906" operator="containsText" text="Laboratory">
      <formula>NOT(ISERROR(SEARCH("Laboratory",T36)))</formula>
    </cfRule>
    <cfRule type="containsText" dxfId="248" priority="907" operator="containsText" text="Odor Control">
      <formula>NOT(ISERROR(SEARCH("Odor Control",T36)))</formula>
    </cfRule>
    <cfRule type="containsText" dxfId="247" priority="908" operator="containsText" text="Ferric">
      <formula>NOT(ISERROR(SEARCH("Ferric",T36)))</formula>
    </cfRule>
    <cfRule type="containsText" dxfId="246" priority="909" operator="containsText" text="Chlorine">
      <formula>NOT(ISERROR(SEARCH("Chlorine",T36)))</formula>
    </cfRule>
    <cfRule type="containsText" dxfId="245" priority="910" operator="containsText" text="Potable">
      <formula>NOT(ISERROR(SEARCH("Potable",T36)))</formula>
    </cfRule>
    <cfRule type="containsText" dxfId="244" priority="911" operator="containsText" text="Natural Gas">
      <formula>NOT(ISERROR(SEARCH("Natural Gas",T36)))</formula>
    </cfRule>
    <cfRule type="containsText" dxfId="243" priority="912" operator="containsText" text="Electricity">
      <formula>NOT(ISERROR(SEARCH("Electricity",T36)))</formula>
    </cfRule>
    <cfRule type="containsText" dxfId="242" priority="913" operator="containsText" text="Single Area">
      <formula>NOT(ISERROR(SEARCH("Single Area",T36)))</formula>
    </cfRule>
    <cfRule type="containsText" dxfId="241" priority="914" operator="containsText" text="Actual Use">
      <formula>NOT(ISERROR(SEARCH("Actual Use",T36)))</formula>
    </cfRule>
    <cfRule type="containsText" dxfId="240" priority="915" operator="containsText" text="Labor -">
      <formula>NOT(ISERROR(SEARCH("Labor -",T36)))</formula>
    </cfRule>
  </conditionalFormatting>
  <conditionalFormatting sqref="T39">
    <cfRule type="containsText" dxfId="239" priority="886" operator="containsText" text="Insurance">
      <formula>NOT(ISERROR(SEARCH("Insurance",T39)))</formula>
    </cfRule>
    <cfRule type="containsText" dxfId="238" priority="887" operator="containsText" text="Region 9">
      <formula>NOT(ISERROR(SEARCH("Region 9",T39)))</formula>
    </cfRule>
    <cfRule type="containsText" dxfId="237" priority="888" operator="containsText" text="ETM">
      <formula>NOT(ISERROR(SEARCH("ETM",T39)))</formula>
    </cfRule>
    <cfRule type="containsText" dxfId="236" priority="889" operator="containsText" text="Outfall">
      <formula>NOT(ISERROR(SEARCH("Outfall",T39)))</formula>
    </cfRule>
    <cfRule type="containsText" dxfId="235" priority="890" operator="containsText" text="Petroleum">
      <formula>NOT(ISERROR(SEARCH("Petroleum",T39)))</formula>
    </cfRule>
    <cfRule type="containsText" dxfId="234" priority="891" operator="containsText" text="Laboratory">
      <formula>NOT(ISERROR(SEARCH("Laboratory",T39)))</formula>
    </cfRule>
    <cfRule type="containsText" dxfId="233" priority="892" operator="containsText" text="Odor Control">
      <formula>NOT(ISERROR(SEARCH("Odor Control",T39)))</formula>
    </cfRule>
    <cfRule type="containsText" dxfId="232" priority="893" operator="containsText" text="Ferric">
      <formula>NOT(ISERROR(SEARCH("Ferric",T39)))</formula>
    </cfRule>
    <cfRule type="containsText" dxfId="231" priority="894" operator="containsText" text="Chlorine">
      <formula>NOT(ISERROR(SEARCH("Chlorine",T39)))</formula>
    </cfRule>
    <cfRule type="containsText" dxfId="230" priority="895" operator="containsText" text="Potable">
      <formula>NOT(ISERROR(SEARCH("Potable",T39)))</formula>
    </cfRule>
    <cfRule type="containsText" dxfId="229" priority="896" operator="containsText" text="Natural Gas">
      <formula>NOT(ISERROR(SEARCH("Natural Gas",T39)))</formula>
    </cfRule>
    <cfRule type="containsText" dxfId="228" priority="897" operator="containsText" text="Electricity">
      <formula>NOT(ISERROR(SEARCH("Electricity",T39)))</formula>
    </cfRule>
    <cfRule type="containsText" dxfId="227" priority="898" operator="containsText" text="Single Area">
      <formula>NOT(ISERROR(SEARCH("Single Area",T39)))</formula>
    </cfRule>
    <cfRule type="containsText" dxfId="226" priority="899" operator="containsText" text="Actual Use">
      <formula>NOT(ISERROR(SEARCH("Actual Use",T39)))</formula>
    </cfRule>
    <cfRule type="containsText" dxfId="225" priority="900" operator="containsText" text="Labor -">
      <formula>NOT(ISERROR(SEARCH("Labor -",T39)))</formula>
    </cfRule>
  </conditionalFormatting>
  <conditionalFormatting sqref="T46">
    <cfRule type="containsText" dxfId="224" priority="871" operator="containsText" text="Insurance">
      <formula>NOT(ISERROR(SEARCH("Insurance",T46)))</formula>
    </cfRule>
    <cfRule type="containsText" dxfId="223" priority="872" operator="containsText" text="Region 9">
      <formula>NOT(ISERROR(SEARCH("Region 9",T46)))</formula>
    </cfRule>
    <cfRule type="containsText" dxfId="222" priority="873" operator="containsText" text="ETM">
      <formula>NOT(ISERROR(SEARCH("ETM",T46)))</formula>
    </cfRule>
    <cfRule type="containsText" dxfId="221" priority="874" operator="containsText" text="Outfall">
      <formula>NOT(ISERROR(SEARCH("Outfall",T46)))</formula>
    </cfRule>
    <cfRule type="containsText" dxfId="220" priority="875" operator="containsText" text="Petroleum">
      <formula>NOT(ISERROR(SEARCH("Petroleum",T46)))</formula>
    </cfRule>
    <cfRule type="containsText" dxfId="219" priority="876" operator="containsText" text="Laboratory">
      <formula>NOT(ISERROR(SEARCH("Laboratory",T46)))</formula>
    </cfRule>
    <cfRule type="containsText" dxfId="218" priority="877" operator="containsText" text="Odor Control">
      <formula>NOT(ISERROR(SEARCH("Odor Control",T46)))</formula>
    </cfRule>
    <cfRule type="containsText" dxfId="217" priority="878" operator="containsText" text="Ferric">
      <formula>NOT(ISERROR(SEARCH("Ferric",T46)))</formula>
    </cfRule>
    <cfRule type="containsText" dxfId="216" priority="879" operator="containsText" text="Chlorine">
      <formula>NOT(ISERROR(SEARCH("Chlorine",T46)))</formula>
    </cfRule>
    <cfRule type="containsText" dxfId="215" priority="880" operator="containsText" text="Potable">
      <formula>NOT(ISERROR(SEARCH("Potable",T46)))</formula>
    </cfRule>
    <cfRule type="containsText" dxfId="214" priority="881" operator="containsText" text="Natural Gas">
      <formula>NOT(ISERROR(SEARCH("Natural Gas",T46)))</formula>
    </cfRule>
    <cfRule type="containsText" dxfId="213" priority="882" operator="containsText" text="Electricity">
      <formula>NOT(ISERROR(SEARCH("Electricity",T46)))</formula>
    </cfRule>
    <cfRule type="containsText" dxfId="212" priority="883" operator="containsText" text="Single Area">
      <formula>NOT(ISERROR(SEARCH("Single Area",T46)))</formula>
    </cfRule>
    <cfRule type="containsText" dxfId="211" priority="884" operator="containsText" text="Actual Use">
      <formula>NOT(ISERROR(SEARCH("Actual Use",T46)))</formula>
    </cfRule>
    <cfRule type="containsText" dxfId="210" priority="885" operator="containsText" text="Labor -">
      <formula>NOT(ISERROR(SEARCH("Labor -",T46)))</formula>
    </cfRule>
  </conditionalFormatting>
  <conditionalFormatting sqref="V35:V36">
    <cfRule type="containsText" dxfId="209" priority="856" operator="containsText" text="Insurance">
      <formula>NOT(ISERROR(SEARCH("Insurance",V35)))</formula>
    </cfRule>
    <cfRule type="containsText" dxfId="208" priority="857" operator="containsText" text="Region 9">
      <formula>NOT(ISERROR(SEARCH("Region 9",V35)))</formula>
    </cfRule>
    <cfRule type="containsText" dxfId="207" priority="858" operator="containsText" text="ETM">
      <formula>NOT(ISERROR(SEARCH("ETM",V35)))</formula>
    </cfRule>
    <cfRule type="containsText" dxfId="206" priority="859" operator="containsText" text="Outfall">
      <formula>NOT(ISERROR(SEARCH("Outfall",V35)))</formula>
    </cfRule>
    <cfRule type="containsText" dxfId="205" priority="860" operator="containsText" text="Petroleum">
      <formula>NOT(ISERROR(SEARCH("Petroleum",V35)))</formula>
    </cfRule>
    <cfRule type="containsText" dxfId="204" priority="861" operator="containsText" text="Laboratory">
      <formula>NOT(ISERROR(SEARCH("Laboratory",V35)))</formula>
    </cfRule>
    <cfRule type="containsText" dxfId="203" priority="862" operator="containsText" text="Odor Control">
      <formula>NOT(ISERROR(SEARCH("Odor Control",V35)))</formula>
    </cfRule>
    <cfRule type="containsText" dxfId="202" priority="863" operator="containsText" text="Ferric">
      <formula>NOT(ISERROR(SEARCH("Ferric",V35)))</formula>
    </cfRule>
    <cfRule type="containsText" dxfId="201" priority="864" operator="containsText" text="Chlorine">
      <formula>NOT(ISERROR(SEARCH("Chlorine",V35)))</formula>
    </cfRule>
    <cfRule type="containsText" dxfId="200" priority="865" operator="containsText" text="Potable">
      <formula>NOT(ISERROR(SEARCH("Potable",V35)))</formula>
    </cfRule>
    <cfRule type="containsText" dxfId="199" priority="866" operator="containsText" text="Natural Gas">
      <formula>NOT(ISERROR(SEARCH("Natural Gas",V35)))</formula>
    </cfRule>
    <cfRule type="containsText" dxfId="198" priority="867" operator="containsText" text="Electricity">
      <formula>NOT(ISERROR(SEARCH("Electricity",V35)))</formula>
    </cfRule>
    <cfRule type="containsText" dxfId="197" priority="868" operator="containsText" text="Single Area">
      <formula>NOT(ISERROR(SEARCH("Single Area",V35)))</formula>
    </cfRule>
    <cfRule type="containsText" dxfId="196" priority="869" operator="containsText" text="Actual Use">
      <formula>NOT(ISERROR(SEARCH("Actual Use",V35)))</formula>
    </cfRule>
    <cfRule type="containsText" dxfId="195" priority="870" operator="containsText" text="Labor -">
      <formula>NOT(ISERROR(SEARCH("Labor -",V35)))</formula>
    </cfRule>
  </conditionalFormatting>
  <conditionalFormatting sqref="T44">
    <cfRule type="containsText" dxfId="194" priority="841" operator="containsText" text="Insurance">
      <formula>NOT(ISERROR(SEARCH("Insurance",T44)))</formula>
    </cfRule>
    <cfRule type="containsText" dxfId="193" priority="842" operator="containsText" text="Region 9">
      <formula>NOT(ISERROR(SEARCH("Region 9",T44)))</formula>
    </cfRule>
    <cfRule type="containsText" dxfId="192" priority="843" operator="containsText" text="ETM">
      <formula>NOT(ISERROR(SEARCH("ETM",T44)))</formula>
    </cfRule>
    <cfRule type="containsText" dxfId="191" priority="844" operator="containsText" text="Outfall">
      <formula>NOT(ISERROR(SEARCH("Outfall",T44)))</formula>
    </cfRule>
    <cfRule type="containsText" dxfId="190" priority="845" operator="containsText" text="Petroleum">
      <formula>NOT(ISERROR(SEARCH("Petroleum",T44)))</formula>
    </cfRule>
    <cfRule type="containsText" dxfId="189" priority="846" operator="containsText" text="Laboratory">
      <formula>NOT(ISERROR(SEARCH("Laboratory",T44)))</formula>
    </cfRule>
    <cfRule type="containsText" dxfId="188" priority="847" operator="containsText" text="Odor Control">
      <formula>NOT(ISERROR(SEARCH("Odor Control",T44)))</formula>
    </cfRule>
    <cfRule type="containsText" dxfId="187" priority="848" operator="containsText" text="Ferric">
      <formula>NOT(ISERROR(SEARCH("Ferric",T44)))</formula>
    </cfRule>
    <cfRule type="containsText" dxfId="186" priority="849" operator="containsText" text="Chlorine">
      <formula>NOT(ISERROR(SEARCH("Chlorine",T44)))</formula>
    </cfRule>
    <cfRule type="containsText" dxfId="185" priority="850" operator="containsText" text="Potable">
      <formula>NOT(ISERROR(SEARCH("Potable",T44)))</formula>
    </cfRule>
    <cfRule type="containsText" dxfId="184" priority="851" operator="containsText" text="Natural Gas">
      <formula>NOT(ISERROR(SEARCH("Natural Gas",T44)))</formula>
    </cfRule>
    <cfRule type="containsText" dxfId="183" priority="852" operator="containsText" text="Electricity">
      <formula>NOT(ISERROR(SEARCH("Electricity",T44)))</formula>
    </cfRule>
    <cfRule type="containsText" dxfId="182" priority="853" operator="containsText" text="Single Area">
      <formula>NOT(ISERROR(SEARCH("Single Area",T44)))</formula>
    </cfRule>
    <cfRule type="containsText" dxfId="181" priority="854" operator="containsText" text="Actual Use">
      <formula>NOT(ISERROR(SEARCH("Actual Use",T44)))</formula>
    </cfRule>
    <cfRule type="containsText" dxfId="180" priority="855" operator="containsText" text="Labor -">
      <formula>NOT(ISERROR(SEARCH("Labor -",T44)))</formula>
    </cfRule>
  </conditionalFormatting>
  <conditionalFormatting sqref="V42">
    <cfRule type="containsText" dxfId="179" priority="676" operator="containsText" text="Insurance">
      <formula>NOT(ISERROR(SEARCH("Insurance",V42)))</formula>
    </cfRule>
    <cfRule type="containsText" dxfId="178" priority="677" operator="containsText" text="Region 9">
      <formula>NOT(ISERROR(SEARCH("Region 9",V42)))</formula>
    </cfRule>
    <cfRule type="containsText" dxfId="177" priority="678" operator="containsText" text="ETM">
      <formula>NOT(ISERROR(SEARCH("ETM",V42)))</formula>
    </cfRule>
    <cfRule type="containsText" dxfId="176" priority="679" operator="containsText" text="Outfall">
      <formula>NOT(ISERROR(SEARCH("Outfall",V42)))</formula>
    </cfRule>
    <cfRule type="containsText" dxfId="175" priority="680" operator="containsText" text="Petroleum">
      <formula>NOT(ISERROR(SEARCH("Petroleum",V42)))</formula>
    </cfRule>
    <cfRule type="containsText" dxfId="174" priority="681" operator="containsText" text="Laboratory">
      <formula>NOT(ISERROR(SEARCH("Laboratory",V42)))</formula>
    </cfRule>
    <cfRule type="containsText" dxfId="173" priority="682" operator="containsText" text="Odor Control">
      <formula>NOT(ISERROR(SEARCH("Odor Control",V42)))</formula>
    </cfRule>
    <cfRule type="containsText" dxfId="172" priority="683" operator="containsText" text="Ferric">
      <formula>NOT(ISERROR(SEARCH("Ferric",V42)))</formula>
    </cfRule>
    <cfRule type="containsText" dxfId="171" priority="684" operator="containsText" text="Chlorine">
      <formula>NOT(ISERROR(SEARCH("Chlorine",V42)))</formula>
    </cfRule>
    <cfRule type="containsText" dxfId="170" priority="685" operator="containsText" text="Potable">
      <formula>NOT(ISERROR(SEARCH("Potable",V42)))</formula>
    </cfRule>
    <cfRule type="containsText" dxfId="169" priority="686" operator="containsText" text="Natural Gas">
      <formula>NOT(ISERROR(SEARCH("Natural Gas",V42)))</formula>
    </cfRule>
    <cfRule type="containsText" dxfId="168" priority="687" operator="containsText" text="Electricity">
      <formula>NOT(ISERROR(SEARCH("Electricity",V42)))</formula>
    </cfRule>
    <cfRule type="containsText" dxfId="167" priority="688" operator="containsText" text="Single Area">
      <formula>NOT(ISERROR(SEARCH("Single Area",V42)))</formula>
    </cfRule>
    <cfRule type="containsText" dxfId="166" priority="689" operator="containsText" text="Actual Use">
      <formula>NOT(ISERROR(SEARCH("Actual Use",V42)))</formula>
    </cfRule>
    <cfRule type="containsText" dxfId="165" priority="690" operator="containsText" text="Labor -">
      <formula>NOT(ISERROR(SEARCH("Labor -",V42)))</formula>
    </cfRule>
  </conditionalFormatting>
  <conditionalFormatting sqref="T73">
    <cfRule type="containsText" dxfId="164" priority="811" operator="containsText" text="Insurance">
      <formula>NOT(ISERROR(SEARCH("Insurance",T73)))</formula>
    </cfRule>
    <cfRule type="containsText" dxfId="163" priority="812" operator="containsText" text="Region 9">
      <formula>NOT(ISERROR(SEARCH("Region 9",T73)))</formula>
    </cfRule>
    <cfRule type="containsText" dxfId="162" priority="813" operator="containsText" text="ETM">
      <formula>NOT(ISERROR(SEARCH("ETM",T73)))</formula>
    </cfRule>
    <cfRule type="containsText" dxfId="161" priority="814" operator="containsText" text="Outfall">
      <formula>NOT(ISERROR(SEARCH("Outfall",T73)))</formula>
    </cfRule>
    <cfRule type="containsText" dxfId="160" priority="815" operator="containsText" text="Petroleum">
      <formula>NOT(ISERROR(SEARCH("Petroleum",T73)))</formula>
    </cfRule>
    <cfRule type="containsText" dxfId="159" priority="816" operator="containsText" text="Laboratory">
      <formula>NOT(ISERROR(SEARCH("Laboratory",T73)))</formula>
    </cfRule>
    <cfRule type="containsText" dxfId="158" priority="817" operator="containsText" text="Odor Control">
      <formula>NOT(ISERROR(SEARCH("Odor Control",T73)))</formula>
    </cfRule>
    <cfRule type="containsText" dxfId="157" priority="818" operator="containsText" text="Ferric">
      <formula>NOT(ISERROR(SEARCH("Ferric",T73)))</formula>
    </cfRule>
    <cfRule type="containsText" dxfId="156" priority="819" operator="containsText" text="Chlorine">
      <formula>NOT(ISERROR(SEARCH("Chlorine",T73)))</formula>
    </cfRule>
    <cfRule type="containsText" dxfId="155" priority="820" operator="containsText" text="Potable">
      <formula>NOT(ISERROR(SEARCH("Potable",T73)))</formula>
    </cfRule>
    <cfRule type="containsText" dxfId="154" priority="821" operator="containsText" text="Natural Gas">
      <formula>NOT(ISERROR(SEARCH("Natural Gas",T73)))</formula>
    </cfRule>
    <cfRule type="containsText" dxfId="153" priority="822" operator="containsText" text="Electricity">
      <formula>NOT(ISERROR(SEARCH("Electricity",T73)))</formula>
    </cfRule>
    <cfRule type="containsText" dxfId="152" priority="823" operator="containsText" text="Single Area">
      <formula>NOT(ISERROR(SEARCH("Single Area",T73)))</formula>
    </cfRule>
    <cfRule type="containsText" dxfId="151" priority="824" operator="containsText" text="Actual Use">
      <formula>NOT(ISERROR(SEARCH("Actual Use",T73)))</formula>
    </cfRule>
    <cfRule type="containsText" dxfId="150" priority="825" operator="containsText" text="Labor -">
      <formula>NOT(ISERROR(SEARCH("Labor -",T73)))</formula>
    </cfRule>
  </conditionalFormatting>
  <conditionalFormatting sqref="V73">
    <cfRule type="containsText" dxfId="149" priority="796" operator="containsText" text="Insurance">
      <formula>NOT(ISERROR(SEARCH("Insurance",V73)))</formula>
    </cfRule>
    <cfRule type="containsText" dxfId="148" priority="797" operator="containsText" text="Region 9">
      <formula>NOT(ISERROR(SEARCH("Region 9",V73)))</formula>
    </cfRule>
    <cfRule type="containsText" dxfId="147" priority="798" operator="containsText" text="ETM">
      <formula>NOT(ISERROR(SEARCH("ETM",V73)))</formula>
    </cfRule>
    <cfRule type="containsText" dxfId="146" priority="799" operator="containsText" text="Outfall">
      <formula>NOT(ISERROR(SEARCH("Outfall",V73)))</formula>
    </cfRule>
    <cfRule type="containsText" dxfId="145" priority="800" operator="containsText" text="Petroleum">
      <formula>NOT(ISERROR(SEARCH("Petroleum",V73)))</formula>
    </cfRule>
    <cfRule type="containsText" dxfId="144" priority="801" operator="containsText" text="Laboratory">
      <formula>NOT(ISERROR(SEARCH("Laboratory",V73)))</formula>
    </cfRule>
    <cfRule type="containsText" dxfId="143" priority="802" operator="containsText" text="Odor Control">
      <formula>NOT(ISERROR(SEARCH("Odor Control",V73)))</formula>
    </cfRule>
    <cfRule type="containsText" dxfId="142" priority="803" operator="containsText" text="Ferric">
      <formula>NOT(ISERROR(SEARCH("Ferric",V73)))</formula>
    </cfRule>
    <cfRule type="containsText" dxfId="141" priority="804" operator="containsText" text="Chlorine">
      <formula>NOT(ISERROR(SEARCH("Chlorine",V73)))</formula>
    </cfRule>
    <cfRule type="containsText" dxfId="140" priority="805" operator="containsText" text="Potable">
      <formula>NOT(ISERROR(SEARCH("Potable",V73)))</formula>
    </cfRule>
    <cfRule type="containsText" dxfId="139" priority="806" operator="containsText" text="Natural Gas">
      <formula>NOT(ISERROR(SEARCH("Natural Gas",V73)))</formula>
    </cfRule>
    <cfRule type="containsText" dxfId="138" priority="807" operator="containsText" text="Electricity">
      <formula>NOT(ISERROR(SEARCH("Electricity",V73)))</formula>
    </cfRule>
    <cfRule type="containsText" dxfId="137" priority="808" operator="containsText" text="Single Area">
      <formula>NOT(ISERROR(SEARCH("Single Area",V73)))</formula>
    </cfRule>
    <cfRule type="containsText" dxfId="136" priority="809" operator="containsText" text="Actual Use">
      <formula>NOT(ISERROR(SEARCH("Actual Use",V73)))</formula>
    </cfRule>
    <cfRule type="containsText" dxfId="135" priority="810" operator="containsText" text="Labor -">
      <formula>NOT(ISERROR(SEARCH("Labor -",V73)))</formula>
    </cfRule>
  </conditionalFormatting>
  <conditionalFormatting sqref="V77">
    <cfRule type="containsText" dxfId="134" priority="721" operator="containsText" text="Insurance">
      <formula>NOT(ISERROR(SEARCH("Insurance",V77)))</formula>
    </cfRule>
    <cfRule type="containsText" dxfId="133" priority="722" operator="containsText" text="Region 9">
      <formula>NOT(ISERROR(SEARCH("Region 9",V77)))</formula>
    </cfRule>
    <cfRule type="containsText" dxfId="132" priority="723" operator="containsText" text="ETM">
      <formula>NOT(ISERROR(SEARCH("ETM",V77)))</formula>
    </cfRule>
    <cfRule type="containsText" dxfId="131" priority="724" operator="containsText" text="Outfall">
      <formula>NOT(ISERROR(SEARCH("Outfall",V77)))</formula>
    </cfRule>
    <cfRule type="containsText" dxfId="130" priority="725" operator="containsText" text="Petroleum">
      <formula>NOT(ISERROR(SEARCH("Petroleum",V77)))</formula>
    </cfRule>
    <cfRule type="containsText" dxfId="129" priority="726" operator="containsText" text="Laboratory">
      <formula>NOT(ISERROR(SEARCH("Laboratory",V77)))</formula>
    </cfRule>
    <cfRule type="containsText" dxfId="128" priority="727" operator="containsText" text="Odor Control">
      <formula>NOT(ISERROR(SEARCH("Odor Control",V77)))</formula>
    </cfRule>
    <cfRule type="containsText" dxfId="127" priority="728" operator="containsText" text="Ferric">
      <formula>NOT(ISERROR(SEARCH("Ferric",V77)))</formula>
    </cfRule>
    <cfRule type="containsText" dxfId="126" priority="729" operator="containsText" text="Chlorine">
      <formula>NOT(ISERROR(SEARCH("Chlorine",V77)))</formula>
    </cfRule>
    <cfRule type="containsText" dxfId="125" priority="730" operator="containsText" text="Potable">
      <formula>NOT(ISERROR(SEARCH("Potable",V77)))</formula>
    </cfRule>
    <cfRule type="containsText" dxfId="124" priority="731" operator="containsText" text="Natural Gas">
      <formula>NOT(ISERROR(SEARCH("Natural Gas",V77)))</formula>
    </cfRule>
    <cfRule type="containsText" dxfId="123" priority="732" operator="containsText" text="Electricity">
      <formula>NOT(ISERROR(SEARCH("Electricity",V77)))</formula>
    </cfRule>
    <cfRule type="containsText" dxfId="122" priority="733" operator="containsText" text="Single Area">
      <formula>NOT(ISERROR(SEARCH("Single Area",V77)))</formula>
    </cfRule>
    <cfRule type="containsText" dxfId="121" priority="734" operator="containsText" text="Actual Use">
      <formula>NOT(ISERROR(SEARCH("Actual Use",V77)))</formula>
    </cfRule>
    <cfRule type="containsText" dxfId="120" priority="735" operator="containsText" text="Labor -">
      <formula>NOT(ISERROR(SEARCH("Labor -",V77)))</formula>
    </cfRule>
  </conditionalFormatting>
  <conditionalFormatting sqref="T42">
    <cfRule type="containsText" dxfId="119" priority="691" operator="containsText" text="Insurance">
      <formula>NOT(ISERROR(SEARCH("Insurance",T42)))</formula>
    </cfRule>
    <cfRule type="containsText" dxfId="118" priority="692" operator="containsText" text="Region 9">
      <formula>NOT(ISERROR(SEARCH("Region 9",T42)))</formula>
    </cfRule>
    <cfRule type="containsText" dxfId="117" priority="693" operator="containsText" text="ETM">
      <formula>NOT(ISERROR(SEARCH("ETM",T42)))</formula>
    </cfRule>
    <cfRule type="containsText" dxfId="116" priority="694" operator="containsText" text="Outfall">
      <formula>NOT(ISERROR(SEARCH("Outfall",T42)))</formula>
    </cfRule>
    <cfRule type="containsText" dxfId="115" priority="695" operator="containsText" text="Petroleum">
      <formula>NOT(ISERROR(SEARCH("Petroleum",T42)))</formula>
    </cfRule>
    <cfRule type="containsText" dxfId="114" priority="696" operator="containsText" text="Laboratory">
      <formula>NOT(ISERROR(SEARCH("Laboratory",T42)))</formula>
    </cfRule>
    <cfRule type="containsText" dxfId="113" priority="697" operator="containsText" text="Odor Control">
      <formula>NOT(ISERROR(SEARCH("Odor Control",T42)))</formula>
    </cfRule>
    <cfRule type="containsText" dxfId="112" priority="698" operator="containsText" text="Ferric">
      <formula>NOT(ISERROR(SEARCH("Ferric",T42)))</formula>
    </cfRule>
    <cfRule type="containsText" dxfId="111" priority="699" operator="containsText" text="Chlorine">
      <formula>NOT(ISERROR(SEARCH("Chlorine",T42)))</formula>
    </cfRule>
    <cfRule type="containsText" dxfId="110" priority="700" operator="containsText" text="Potable">
      <formula>NOT(ISERROR(SEARCH("Potable",T42)))</formula>
    </cfRule>
    <cfRule type="containsText" dxfId="109" priority="701" operator="containsText" text="Natural Gas">
      <formula>NOT(ISERROR(SEARCH("Natural Gas",T42)))</formula>
    </cfRule>
    <cfRule type="containsText" dxfId="108" priority="702" operator="containsText" text="Electricity">
      <formula>NOT(ISERROR(SEARCH("Electricity",T42)))</formula>
    </cfRule>
    <cfRule type="containsText" dxfId="107" priority="703" operator="containsText" text="Single Area">
      <formula>NOT(ISERROR(SEARCH("Single Area",T42)))</formula>
    </cfRule>
    <cfRule type="containsText" dxfId="106" priority="704" operator="containsText" text="Actual Use">
      <formula>NOT(ISERROR(SEARCH("Actual Use",T42)))</formula>
    </cfRule>
    <cfRule type="containsText" dxfId="105" priority="705" operator="containsText" text="Labor -">
      <formula>NOT(ISERROR(SEARCH("Labor -",T42)))</formula>
    </cfRule>
  </conditionalFormatting>
  <conditionalFormatting sqref="T21">
    <cfRule type="containsText" dxfId="104" priority="421" operator="containsText" text="Insurance">
      <formula>NOT(ISERROR(SEARCH("Insurance",T21)))</formula>
    </cfRule>
    <cfRule type="containsText" dxfId="103" priority="422" operator="containsText" text="Region 9">
      <formula>NOT(ISERROR(SEARCH("Region 9",T21)))</formula>
    </cfRule>
    <cfRule type="containsText" dxfId="102" priority="423" operator="containsText" text="ETM">
      <formula>NOT(ISERROR(SEARCH("ETM",T21)))</formula>
    </cfRule>
    <cfRule type="containsText" dxfId="101" priority="424" operator="containsText" text="Outfall">
      <formula>NOT(ISERROR(SEARCH("Outfall",T21)))</formula>
    </cfRule>
    <cfRule type="containsText" dxfId="100" priority="425" operator="containsText" text="Petroleum">
      <formula>NOT(ISERROR(SEARCH("Petroleum",T21)))</formula>
    </cfRule>
    <cfRule type="containsText" dxfId="99" priority="426" operator="containsText" text="Laboratory">
      <formula>NOT(ISERROR(SEARCH("Laboratory",T21)))</formula>
    </cfRule>
    <cfRule type="containsText" dxfId="98" priority="427" operator="containsText" text="Odor Control">
      <formula>NOT(ISERROR(SEARCH("Odor Control",T21)))</formula>
    </cfRule>
    <cfRule type="containsText" dxfId="97" priority="428" operator="containsText" text="Ferric">
      <formula>NOT(ISERROR(SEARCH("Ferric",T21)))</formula>
    </cfRule>
    <cfRule type="containsText" dxfId="96" priority="429" operator="containsText" text="Chlorine">
      <formula>NOT(ISERROR(SEARCH("Chlorine",T21)))</formula>
    </cfRule>
    <cfRule type="containsText" dxfId="95" priority="430" operator="containsText" text="Potable">
      <formula>NOT(ISERROR(SEARCH("Potable",T21)))</formula>
    </cfRule>
    <cfRule type="containsText" dxfId="94" priority="431" operator="containsText" text="Natural Gas">
      <formula>NOT(ISERROR(SEARCH("Natural Gas",T21)))</formula>
    </cfRule>
    <cfRule type="containsText" dxfId="93" priority="432" operator="containsText" text="Electricity">
      <formula>NOT(ISERROR(SEARCH("Electricity",T21)))</formula>
    </cfRule>
    <cfRule type="containsText" dxfId="92" priority="433" operator="containsText" text="Single Area">
      <formula>NOT(ISERROR(SEARCH("Single Area",T21)))</formula>
    </cfRule>
    <cfRule type="containsText" dxfId="91" priority="434" operator="containsText" text="Actual Use">
      <formula>NOT(ISERROR(SEARCH("Actual Use",T21)))</formula>
    </cfRule>
    <cfRule type="containsText" dxfId="90" priority="435" operator="containsText" text="Labor -">
      <formula>NOT(ISERROR(SEARCH("Labor -",T21)))</formula>
    </cfRule>
  </conditionalFormatting>
  <conditionalFormatting sqref="V24">
    <cfRule type="containsText" dxfId="89" priority="406" operator="containsText" text="Insurance">
      <formula>NOT(ISERROR(SEARCH("Insurance",V24)))</formula>
    </cfRule>
    <cfRule type="containsText" dxfId="88" priority="407" operator="containsText" text="Region 9">
      <formula>NOT(ISERROR(SEARCH("Region 9",V24)))</formula>
    </cfRule>
    <cfRule type="containsText" dxfId="87" priority="408" operator="containsText" text="ETM">
      <formula>NOT(ISERROR(SEARCH("ETM",V24)))</formula>
    </cfRule>
    <cfRule type="containsText" dxfId="86" priority="409" operator="containsText" text="Outfall">
      <formula>NOT(ISERROR(SEARCH("Outfall",V24)))</formula>
    </cfRule>
    <cfRule type="containsText" dxfId="85" priority="410" operator="containsText" text="Petroleum">
      <formula>NOT(ISERROR(SEARCH("Petroleum",V24)))</formula>
    </cfRule>
    <cfRule type="containsText" dxfId="84" priority="411" operator="containsText" text="Laboratory">
      <formula>NOT(ISERROR(SEARCH("Laboratory",V24)))</formula>
    </cfRule>
    <cfRule type="containsText" dxfId="83" priority="412" operator="containsText" text="Odor Control">
      <formula>NOT(ISERROR(SEARCH("Odor Control",V24)))</formula>
    </cfRule>
    <cfRule type="containsText" dxfId="82" priority="413" operator="containsText" text="Ferric">
      <formula>NOT(ISERROR(SEARCH("Ferric",V24)))</formula>
    </cfRule>
    <cfRule type="containsText" dxfId="81" priority="414" operator="containsText" text="Chlorine">
      <formula>NOT(ISERROR(SEARCH("Chlorine",V24)))</formula>
    </cfRule>
    <cfRule type="containsText" dxfId="80" priority="415" operator="containsText" text="Potable">
      <formula>NOT(ISERROR(SEARCH("Potable",V24)))</formula>
    </cfRule>
    <cfRule type="containsText" dxfId="79" priority="416" operator="containsText" text="Natural Gas">
      <formula>NOT(ISERROR(SEARCH("Natural Gas",V24)))</formula>
    </cfRule>
    <cfRule type="containsText" dxfId="78" priority="417" operator="containsText" text="Electricity">
      <formula>NOT(ISERROR(SEARCH("Electricity",V24)))</formula>
    </cfRule>
    <cfRule type="containsText" dxfId="77" priority="418" operator="containsText" text="Single Area">
      <formula>NOT(ISERROR(SEARCH("Single Area",V24)))</formula>
    </cfRule>
    <cfRule type="containsText" dxfId="76" priority="419" operator="containsText" text="Actual Use">
      <formula>NOT(ISERROR(SEARCH("Actual Use",V24)))</formula>
    </cfRule>
    <cfRule type="containsText" dxfId="75" priority="420" operator="containsText" text="Labor -">
      <formula>NOT(ISERROR(SEARCH("Labor -",V24)))</formula>
    </cfRule>
  </conditionalFormatting>
  <conditionalFormatting sqref="V25">
    <cfRule type="containsText" dxfId="74" priority="391" operator="containsText" text="Insurance">
      <formula>NOT(ISERROR(SEARCH("Insurance",V25)))</formula>
    </cfRule>
    <cfRule type="containsText" dxfId="73" priority="392" operator="containsText" text="Region 9">
      <formula>NOT(ISERROR(SEARCH("Region 9",V25)))</formula>
    </cfRule>
    <cfRule type="containsText" dxfId="72" priority="393" operator="containsText" text="ETM">
      <formula>NOT(ISERROR(SEARCH("ETM",V25)))</formula>
    </cfRule>
    <cfRule type="containsText" dxfId="71" priority="394" operator="containsText" text="Outfall">
      <formula>NOT(ISERROR(SEARCH("Outfall",V25)))</formula>
    </cfRule>
    <cfRule type="containsText" dxfId="70" priority="395" operator="containsText" text="Petroleum">
      <formula>NOT(ISERROR(SEARCH("Petroleum",V25)))</formula>
    </cfRule>
    <cfRule type="containsText" dxfId="69" priority="396" operator="containsText" text="Laboratory">
      <formula>NOT(ISERROR(SEARCH("Laboratory",V25)))</formula>
    </cfRule>
    <cfRule type="containsText" dxfId="68" priority="397" operator="containsText" text="Odor Control">
      <formula>NOT(ISERROR(SEARCH("Odor Control",V25)))</formula>
    </cfRule>
    <cfRule type="containsText" dxfId="67" priority="398" operator="containsText" text="Ferric">
      <formula>NOT(ISERROR(SEARCH("Ferric",V25)))</formula>
    </cfRule>
    <cfRule type="containsText" dxfId="66" priority="399" operator="containsText" text="Chlorine">
      <formula>NOT(ISERROR(SEARCH("Chlorine",V25)))</formula>
    </cfRule>
    <cfRule type="containsText" dxfId="65" priority="400" operator="containsText" text="Potable">
      <formula>NOT(ISERROR(SEARCH("Potable",V25)))</formula>
    </cfRule>
    <cfRule type="containsText" dxfId="64" priority="401" operator="containsText" text="Natural Gas">
      <formula>NOT(ISERROR(SEARCH("Natural Gas",V25)))</formula>
    </cfRule>
    <cfRule type="containsText" dxfId="63" priority="402" operator="containsText" text="Electricity">
      <formula>NOT(ISERROR(SEARCH("Electricity",V25)))</formula>
    </cfRule>
    <cfRule type="containsText" dxfId="62" priority="403" operator="containsText" text="Single Area">
      <formula>NOT(ISERROR(SEARCH("Single Area",V25)))</formula>
    </cfRule>
    <cfRule type="containsText" dxfId="61" priority="404" operator="containsText" text="Actual Use">
      <formula>NOT(ISERROR(SEARCH("Actual Use",V25)))</formula>
    </cfRule>
    <cfRule type="containsText" dxfId="60" priority="405" operator="containsText" text="Labor -">
      <formula>NOT(ISERROR(SEARCH("Labor -",V25)))</formula>
    </cfRule>
  </conditionalFormatting>
  <conditionalFormatting sqref="V27">
    <cfRule type="containsText" dxfId="59" priority="376" operator="containsText" text="Insurance">
      <formula>NOT(ISERROR(SEARCH("Insurance",V27)))</formula>
    </cfRule>
    <cfRule type="containsText" dxfId="58" priority="377" operator="containsText" text="Region 9">
      <formula>NOT(ISERROR(SEARCH("Region 9",V27)))</formula>
    </cfRule>
    <cfRule type="containsText" dxfId="57" priority="378" operator="containsText" text="ETM">
      <formula>NOT(ISERROR(SEARCH("ETM",V27)))</formula>
    </cfRule>
    <cfRule type="containsText" dxfId="56" priority="379" operator="containsText" text="Outfall">
      <formula>NOT(ISERROR(SEARCH("Outfall",V27)))</formula>
    </cfRule>
    <cfRule type="containsText" dxfId="55" priority="380" operator="containsText" text="Petroleum">
      <formula>NOT(ISERROR(SEARCH("Petroleum",V27)))</formula>
    </cfRule>
    <cfRule type="containsText" dxfId="54" priority="381" operator="containsText" text="Laboratory">
      <formula>NOT(ISERROR(SEARCH("Laboratory",V27)))</formula>
    </cfRule>
    <cfRule type="containsText" dxfId="53" priority="382" operator="containsText" text="Odor Control">
      <formula>NOT(ISERROR(SEARCH("Odor Control",V27)))</formula>
    </cfRule>
    <cfRule type="containsText" dxfId="52" priority="383" operator="containsText" text="Ferric">
      <formula>NOT(ISERROR(SEARCH("Ferric",V27)))</formula>
    </cfRule>
    <cfRule type="containsText" dxfId="51" priority="384" operator="containsText" text="Chlorine">
      <formula>NOT(ISERROR(SEARCH("Chlorine",V27)))</formula>
    </cfRule>
    <cfRule type="containsText" dxfId="50" priority="385" operator="containsText" text="Potable">
      <formula>NOT(ISERROR(SEARCH("Potable",V27)))</formula>
    </cfRule>
    <cfRule type="containsText" dxfId="49" priority="386" operator="containsText" text="Natural Gas">
      <formula>NOT(ISERROR(SEARCH("Natural Gas",V27)))</formula>
    </cfRule>
    <cfRule type="containsText" dxfId="48" priority="387" operator="containsText" text="Electricity">
      <formula>NOT(ISERROR(SEARCH("Electricity",V27)))</formula>
    </cfRule>
    <cfRule type="containsText" dxfId="47" priority="388" operator="containsText" text="Single Area">
      <formula>NOT(ISERROR(SEARCH("Single Area",V27)))</formula>
    </cfRule>
    <cfRule type="containsText" dxfId="46" priority="389" operator="containsText" text="Actual Use">
      <formula>NOT(ISERROR(SEARCH("Actual Use",V27)))</formula>
    </cfRule>
    <cfRule type="containsText" dxfId="45" priority="390" operator="containsText" text="Labor -">
      <formula>NOT(ISERROR(SEARCH("Labor -",V27)))</formula>
    </cfRule>
  </conditionalFormatting>
  <conditionalFormatting sqref="V39">
    <cfRule type="containsText" dxfId="44" priority="361" operator="containsText" text="Insurance">
      <formula>NOT(ISERROR(SEARCH("Insurance",V39)))</formula>
    </cfRule>
    <cfRule type="containsText" dxfId="43" priority="362" operator="containsText" text="Region 9">
      <formula>NOT(ISERROR(SEARCH("Region 9",V39)))</formula>
    </cfRule>
    <cfRule type="containsText" dxfId="42" priority="363" operator="containsText" text="ETM">
      <formula>NOT(ISERROR(SEARCH("ETM",V39)))</formula>
    </cfRule>
    <cfRule type="containsText" dxfId="41" priority="364" operator="containsText" text="Outfall">
      <formula>NOT(ISERROR(SEARCH("Outfall",V39)))</formula>
    </cfRule>
    <cfRule type="containsText" dxfId="40" priority="365" operator="containsText" text="Petroleum">
      <formula>NOT(ISERROR(SEARCH("Petroleum",V39)))</formula>
    </cfRule>
    <cfRule type="containsText" dxfId="39" priority="366" operator="containsText" text="Laboratory">
      <formula>NOT(ISERROR(SEARCH("Laboratory",V39)))</formula>
    </cfRule>
    <cfRule type="containsText" dxfId="38" priority="367" operator="containsText" text="Odor Control">
      <formula>NOT(ISERROR(SEARCH("Odor Control",V39)))</formula>
    </cfRule>
    <cfRule type="containsText" dxfId="37" priority="368" operator="containsText" text="Ferric">
      <formula>NOT(ISERROR(SEARCH("Ferric",V39)))</formula>
    </cfRule>
    <cfRule type="containsText" dxfId="36" priority="369" operator="containsText" text="Chlorine">
      <formula>NOT(ISERROR(SEARCH("Chlorine",V39)))</formula>
    </cfRule>
    <cfRule type="containsText" dxfId="35" priority="370" operator="containsText" text="Potable">
      <formula>NOT(ISERROR(SEARCH("Potable",V39)))</formula>
    </cfRule>
    <cfRule type="containsText" dxfId="34" priority="371" operator="containsText" text="Natural Gas">
      <formula>NOT(ISERROR(SEARCH("Natural Gas",V39)))</formula>
    </cfRule>
    <cfRule type="containsText" dxfId="33" priority="372" operator="containsText" text="Electricity">
      <formula>NOT(ISERROR(SEARCH("Electricity",V39)))</formula>
    </cfRule>
    <cfRule type="containsText" dxfId="32" priority="373" operator="containsText" text="Single Area">
      <formula>NOT(ISERROR(SEARCH("Single Area",V39)))</formula>
    </cfRule>
    <cfRule type="containsText" dxfId="31" priority="374" operator="containsText" text="Actual Use">
      <formula>NOT(ISERROR(SEARCH("Actual Use",V39)))</formula>
    </cfRule>
    <cfRule type="containsText" dxfId="30" priority="375" operator="containsText" text="Labor -">
      <formula>NOT(ISERROR(SEARCH("Labor -",V39)))</formula>
    </cfRule>
  </conditionalFormatting>
  <conditionalFormatting sqref="T65">
    <cfRule type="containsText" dxfId="29" priority="16" operator="containsText" text="Insurance">
      <formula>NOT(ISERROR(SEARCH("Insurance",T65)))</formula>
    </cfRule>
    <cfRule type="containsText" dxfId="28" priority="17" operator="containsText" text="Region 9">
      <formula>NOT(ISERROR(SEARCH("Region 9",T65)))</formula>
    </cfRule>
    <cfRule type="containsText" dxfId="27" priority="18" operator="containsText" text="ETM">
      <formula>NOT(ISERROR(SEARCH("ETM",T65)))</formula>
    </cfRule>
    <cfRule type="containsText" dxfId="26" priority="19" operator="containsText" text="Outfall">
      <formula>NOT(ISERROR(SEARCH("Outfall",T65)))</formula>
    </cfRule>
    <cfRule type="containsText" dxfId="25" priority="20" operator="containsText" text="Petroleum">
      <formula>NOT(ISERROR(SEARCH("Petroleum",T65)))</formula>
    </cfRule>
    <cfRule type="containsText" dxfId="24" priority="21" operator="containsText" text="Laboratory">
      <formula>NOT(ISERROR(SEARCH("Laboratory",T65)))</formula>
    </cfRule>
    <cfRule type="containsText" dxfId="23" priority="22" operator="containsText" text="Odor Control">
      <formula>NOT(ISERROR(SEARCH("Odor Control",T65)))</formula>
    </cfRule>
    <cfRule type="containsText" dxfId="22" priority="23" operator="containsText" text="Ferric">
      <formula>NOT(ISERROR(SEARCH("Ferric",T65)))</formula>
    </cfRule>
    <cfRule type="containsText" dxfId="21" priority="24" operator="containsText" text="Chlorine">
      <formula>NOT(ISERROR(SEARCH("Chlorine",T65)))</formula>
    </cfRule>
    <cfRule type="containsText" dxfId="20" priority="25" operator="containsText" text="Potable">
      <formula>NOT(ISERROR(SEARCH("Potable",T65)))</formula>
    </cfRule>
    <cfRule type="containsText" dxfId="19" priority="26" operator="containsText" text="Natural Gas">
      <formula>NOT(ISERROR(SEARCH("Natural Gas",T65)))</formula>
    </cfRule>
    <cfRule type="containsText" dxfId="18" priority="27" operator="containsText" text="Electricity">
      <formula>NOT(ISERROR(SEARCH("Electricity",T65)))</formula>
    </cfRule>
    <cfRule type="containsText" dxfId="17" priority="28" operator="containsText" text="Single Area">
      <formula>NOT(ISERROR(SEARCH("Single Area",T65)))</formula>
    </cfRule>
    <cfRule type="containsText" dxfId="16" priority="29" operator="containsText" text="Actual Use">
      <formula>NOT(ISERROR(SEARCH("Actual Use",T65)))</formula>
    </cfRule>
    <cfRule type="containsText" dxfId="15" priority="30" operator="containsText" text="Labor -">
      <formula>NOT(ISERROR(SEARCH("Labor -",T65)))</formula>
    </cfRule>
  </conditionalFormatting>
  <conditionalFormatting sqref="T61">
    <cfRule type="containsText" dxfId="14" priority="1" operator="containsText" text="Insurance">
      <formula>NOT(ISERROR(SEARCH("Insurance",T61)))</formula>
    </cfRule>
    <cfRule type="containsText" dxfId="13" priority="2" operator="containsText" text="Region 9">
      <formula>NOT(ISERROR(SEARCH("Region 9",T61)))</formula>
    </cfRule>
    <cfRule type="containsText" dxfId="12" priority="3" operator="containsText" text="ETM">
      <formula>NOT(ISERROR(SEARCH("ETM",T61)))</formula>
    </cfRule>
    <cfRule type="containsText" dxfId="11" priority="4" operator="containsText" text="Outfall">
      <formula>NOT(ISERROR(SEARCH("Outfall",T61)))</formula>
    </cfRule>
    <cfRule type="containsText" dxfId="10" priority="5" operator="containsText" text="Petroleum">
      <formula>NOT(ISERROR(SEARCH("Petroleum",T61)))</formula>
    </cfRule>
    <cfRule type="containsText" dxfId="9" priority="6" operator="containsText" text="Laboratory">
      <formula>NOT(ISERROR(SEARCH("Laboratory",T61)))</formula>
    </cfRule>
    <cfRule type="containsText" dxfId="8" priority="7" operator="containsText" text="Odor Control">
      <formula>NOT(ISERROR(SEARCH("Odor Control",T61)))</formula>
    </cfRule>
    <cfRule type="containsText" dxfId="7" priority="8" operator="containsText" text="Ferric">
      <formula>NOT(ISERROR(SEARCH("Ferric",T61)))</formula>
    </cfRule>
    <cfRule type="containsText" dxfId="6" priority="9" operator="containsText" text="Chlorine">
      <formula>NOT(ISERROR(SEARCH("Chlorine",T61)))</formula>
    </cfRule>
    <cfRule type="containsText" dxfId="5" priority="10" operator="containsText" text="Potable">
      <formula>NOT(ISERROR(SEARCH("Potable",T61)))</formula>
    </cfRule>
    <cfRule type="containsText" dxfId="4" priority="11" operator="containsText" text="Natural Gas">
      <formula>NOT(ISERROR(SEARCH("Natural Gas",T61)))</formula>
    </cfRule>
    <cfRule type="containsText" dxfId="3" priority="12" operator="containsText" text="Electricity">
      <formula>NOT(ISERROR(SEARCH("Electricity",T61)))</formula>
    </cfRule>
    <cfRule type="containsText" dxfId="2" priority="13" operator="containsText" text="Single Area">
      <formula>NOT(ISERROR(SEARCH("Single Area",T61)))</formula>
    </cfRule>
    <cfRule type="containsText" dxfId="1" priority="14" operator="containsText" text="Actual Use">
      <formula>NOT(ISERROR(SEARCH("Actual Use",T61)))</formula>
    </cfRule>
    <cfRule type="containsText" dxfId="0" priority="15" operator="containsText" text="Labor -">
      <formula>NOT(ISERROR(SEARCH("Labor -",T61)))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</sheetPr>
  <dimension ref="A1"/>
  <sheetViews>
    <sheetView topLeftCell="A2" workbookViewId="0">
      <selection activeCell="AU9" sqref="AU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3:AP22"/>
  <sheetViews>
    <sheetView showGridLines="0" zoomScale="90" zoomScaleNormal="90" workbookViewId="0">
      <pane xSplit="3" topLeftCell="D1" activePane="topRight" state="frozen"/>
      <selection pane="topRight" activeCell="C9" sqref="C9"/>
    </sheetView>
  </sheetViews>
  <sheetFormatPr defaultColWidth="9.140625" defaultRowHeight="15" outlineLevelCol="1" x14ac:dyDescent="0.25"/>
  <cols>
    <col min="1" max="1" width="5.5703125" style="40" customWidth="1"/>
    <col min="2" max="2" width="28.85546875" customWidth="1"/>
    <col min="3" max="3" width="8.140625" style="3" customWidth="1"/>
    <col min="4" max="4" width="1.140625" style="43" customWidth="1"/>
    <col min="5" max="6" width="11.140625" customWidth="1" outlineLevel="1"/>
    <col min="7" max="7" width="6.28515625" customWidth="1" outlineLevel="1"/>
    <col min="8" max="8" width="8.28515625" customWidth="1" outlineLevel="1"/>
    <col min="9" max="9" width="9.28515625" customWidth="1" outlineLevel="1"/>
    <col min="10" max="10" width="1.140625" style="43" customWidth="1"/>
    <col min="11" max="11" width="6.140625" customWidth="1" outlineLevel="1"/>
    <col min="12" max="12" width="15.28515625" customWidth="1" outlineLevel="1"/>
    <col min="13" max="13" width="6.140625" customWidth="1" outlineLevel="1"/>
    <col min="14" max="14" width="8.28515625" customWidth="1" outlineLevel="1"/>
    <col min="15" max="15" width="9.28515625" customWidth="1" outlineLevel="1"/>
    <col min="16" max="16" width="1.140625" style="43" customWidth="1"/>
    <col min="17" max="17" width="9.140625" style="11" customWidth="1" outlineLevel="1"/>
    <col min="18" max="18" width="9.5703125" customWidth="1" outlineLevel="1"/>
    <col min="19" max="19" width="1.140625" style="43" customWidth="1"/>
    <col min="20" max="20" width="29.7109375" customWidth="1" outlineLevel="1"/>
    <col min="21" max="21" width="18.5703125" customWidth="1" outlineLevel="1"/>
    <col min="22" max="22" width="1.140625" style="43" customWidth="1"/>
    <col min="23" max="23" width="9.28515625" customWidth="1" outlineLevel="1"/>
    <col min="24" max="25" width="10.28515625" customWidth="1" outlineLevel="1"/>
    <col min="26" max="26" width="7.85546875" customWidth="1" outlineLevel="1"/>
    <col min="27" max="27" width="10.5703125" customWidth="1" outlineLevel="1"/>
    <col min="28" max="28" width="1.140625" style="43" customWidth="1"/>
    <col min="29" max="31" width="9.5703125" customWidth="1" outlineLevel="1"/>
    <col min="32" max="33" width="9.7109375" customWidth="1" outlineLevel="1"/>
    <col min="34" max="34" width="1.140625" style="43" customWidth="1"/>
    <col min="35" max="36" width="16.85546875" customWidth="1" outlineLevel="1"/>
    <col min="37" max="37" width="1.140625" style="43" customWidth="1"/>
    <col min="38" max="38" width="9.140625" customWidth="1" outlineLevel="1"/>
    <col min="39" max="39" width="11" bestFit="1" customWidth="1" outlineLevel="1"/>
    <col min="40" max="40" width="9.140625" customWidth="1" outlineLevel="1"/>
    <col min="41" max="41" width="8.28515625" customWidth="1" outlineLevel="1"/>
    <col min="42" max="42" width="9.28515625" customWidth="1" outlineLevel="1"/>
    <col min="43" max="16384" width="9.140625" style="85"/>
  </cols>
  <sheetData>
    <row r="3" spans="1:42" s="592" customFormat="1" ht="12" customHeight="1" x14ac:dyDescent="0.25">
      <c r="A3" s="591"/>
      <c r="C3" s="593"/>
      <c r="D3" s="594"/>
      <c r="E3" s="754" t="s">
        <v>33</v>
      </c>
      <c r="F3" s="754"/>
      <c r="G3" s="754"/>
      <c r="H3" s="754"/>
      <c r="I3" s="754"/>
      <c r="J3" s="594"/>
      <c r="K3" s="754" t="s">
        <v>34</v>
      </c>
      <c r="L3" s="754"/>
      <c r="M3" s="754"/>
      <c r="N3" s="754"/>
      <c r="O3" s="754"/>
      <c r="P3" s="594"/>
      <c r="Q3" s="754" t="s">
        <v>251</v>
      </c>
      <c r="R3" s="754"/>
      <c r="S3" s="594"/>
      <c r="T3" s="754" t="s">
        <v>252</v>
      </c>
      <c r="U3" s="754"/>
      <c r="V3" s="594"/>
      <c r="W3" s="754" t="s">
        <v>253</v>
      </c>
      <c r="X3" s="754"/>
      <c r="Y3" s="754"/>
      <c r="Z3" s="754"/>
      <c r="AA3" s="754"/>
      <c r="AB3" s="594"/>
      <c r="AC3" s="754" t="s">
        <v>254</v>
      </c>
      <c r="AD3" s="754"/>
      <c r="AE3" s="754"/>
      <c r="AF3" s="754"/>
      <c r="AG3" s="754"/>
      <c r="AH3" s="594"/>
      <c r="AI3" s="754" t="s">
        <v>255</v>
      </c>
      <c r="AJ3" s="754"/>
      <c r="AK3" s="594"/>
      <c r="AL3" s="754" t="s">
        <v>256</v>
      </c>
      <c r="AM3" s="754"/>
      <c r="AN3" s="754"/>
      <c r="AO3" s="754"/>
      <c r="AP3" s="754"/>
    </row>
    <row r="4" spans="1:42" s="118" customFormat="1" ht="12" customHeight="1" thickBot="1" x14ac:dyDescent="0.3">
      <c r="A4" s="595"/>
      <c r="C4" s="596"/>
      <c r="D4" s="597"/>
      <c r="E4" s="755" t="s">
        <v>249</v>
      </c>
      <c r="F4" s="755"/>
      <c r="G4" s="755"/>
      <c r="H4" s="755"/>
      <c r="I4" s="755"/>
      <c r="J4" s="598"/>
      <c r="K4" s="755" t="s">
        <v>250</v>
      </c>
      <c r="L4" s="755"/>
      <c r="M4" s="755"/>
      <c r="N4" s="755"/>
      <c r="O4" s="755"/>
      <c r="P4" s="598"/>
      <c r="Q4" s="755" t="s">
        <v>260</v>
      </c>
      <c r="R4" s="755"/>
      <c r="S4" s="598"/>
      <c r="T4" s="755" t="s">
        <v>692</v>
      </c>
      <c r="U4" s="755"/>
      <c r="V4" s="598"/>
      <c r="W4" s="755" t="s">
        <v>257</v>
      </c>
      <c r="X4" s="755"/>
      <c r="Y4" s="755"/>
      <c r="Z4" s="755"/>
      <c r="AA4" s="755"/>
      <c r="AB4" s="598"/>
      <c r="AC4" s="755" t="s">
        <v>558</v>
      </c>
      <c r="AD4" s="755"/>
      <c r="AE4" s="755"/>
      <c r="AF4" s="755"/>
      <c r="AG4" s="755"/>
      <c r="AH4" s="598"/>
      <c r="AI4" s="755" t="s">
        <v>258</v>
      </c>
      <c r="AJ4" s="755"/>
      <c r="AK4" s="598"/>
      <c r="AL4" s="755" t="s">
        <v>259</v>
      </c>
      <c r="AM4" s="755"/>
      <c r="AN4" s="755"/>
      <c r="AO4" s="755"/>
      <c r="AP4" s="755"/>
    </row>
    <row r="5" spans="1:42" s="143" customFormat="1" ht="15.75" customHeight="1" thickTop="1" thickBot="1" x14ac:dyDescent="0.35">
      <c r="A5" s="142"/>
      <c r="C5" s="123"/>
      <c r="D5" s="144"/>
      <c r="E5" s="756" t="s">
        <v>698</v>
      </c>
      <c r="F5" s="756"/>
      <c r="G5" s="756"/>
      <c r="H5" s="757" t="s">
        <v>699</v>
      </c>
      <c r="I5" s="757"/>
      <c r="J5" s="145"/>
      <c r="K5" s="756" t="s">
        <v>698</v>
      </c>
      <c r="L5" s="756"/>
      <c r="M5" s="756"/>
      <c r="N5" s="757" t="s">
        <v>699</v>
      </c>
      <c r="O5" s="757"/>
      <c r="P5" s="145"/>
      <c r="Q5" s="757" t="s">
        <v>699</v>
      </c>
      <c r="R5" s="757"/>
      <c r="S5" s="145"/>
      <c r="T5" s="584" t="s">
        <v>698</v>
      </c>
      <c r="U5" s="585" t="s">
        <v>699</v>
      </c>
      <c r="V5" s="585"/>
      <c r="W5" s="758" t="s">
        <v>698</v>
      </c>
      <c r="X5" s="758"/>
      <c r="Y5" s="758"/>
      <c r="Z5" s="757" t="s">
        <v>699</v>
      </c>
      <c r="AA5" s="757"/>
      <c r="AB5" s="145"/>
      <c r="AC5" s="758" t="s">
        <v>698</v>
      </c>
      <c r="AD5" s="758"/>
      <c r="AE5" s="758"/>
      <c r="AF5" s="757" t="s">
        <v>699</v>
      </c>
      <c r="AG5" s="757"/>
      <c r="AH5" s="145"/>
      <c r="AI5" s="757" t="s">
        <v>702</v>
      </c>
      <c r="AJ5" s="757"/>
      <c r="AK5" s="145"/>
      <c r="AL5" s="756" t="s">
        <v>698</v>
      </c>
      <c r="AM5" s="756"/>
      <c r="AN5" s="756"/>
      <c r="AO5" s="757" t="s">
        <v>699</v>
      </c>
      <c r="AP5" s="757"/>
    </row>
    <row r="6" spans="1:42" s="118" customFormat="1" ht="16.5" thickTop="1" thickBot="1" x14ac:dyDescent="0.3">
      <c r="A6" s="138"/>
      <c r="B6" s="164" t="s">
        <v>182</v>
      </c>
      <c r="C6" s="164" t="s">
        <v>183</v>
      </c>
      <c r="D6"/>
      <c r="E6" s="454" t="s">
        <v>4</v>
      </c>
      <c r="F6" s="455" t="s">
        <v>3</v>
      </c>
      <c r="G6" s="450" t="s">
        <v>32</v>
      </c>
      <c r="H6" s="257" t="s">
        <v>6</v>
      </c>
      <c r="I6" s="258" t="s">
        <v>5</v>
      </c>
      <c r="J6"/>
      <c r="K6" s="240" t="s">
        <v>4</v>
      </c>
      <c r="L6" s="166" t="s">
        <v>700</v>
      </c>
      <c r="M6" s="193" t="s">
        <v>32</v>
      </c>
      <c r="N6" s="169" t="s">
        <v>6</v>
      </c>
      <c r="O6" s="168" t="s">
        <v>701</v>
      </c>
      <c r="P6"/>
      <c r="Q6" s="259" t="s">
        <v>262</v>
      </c>
      <c r="R6" s="260" t="s">
        <v>263</v>
      </c>
      <c r="S6"/>
      <c r="T6" s="259" t="s">
        <v>692</v>
      </c>
      <c r="U6" s="260" t="s">
        <v>530</v>
      </c>
      <c r="V6"/>
      <c r="W6" s="451" t="s">
        <v>4</v>
      </c>
      <c r="X6" s="256" t="s">
        <v>3</v>
      </c>
      <c r="Y6" s="256" t="s">
        <v>32</v>
      </c>
      <c r="Z6" s="452" t="s">
        <v>6</v>
      </c>
      <c r="AA6" s="258" t="s">
        <v>5</v>
      </c>
      <c r="AB6"/>
      <c r="AC6" s="255" t="s">
        <v>4</v>
      </c>
      <c r="AD6" s="256" t="s">
        <v>3</v>
      </c>
      <c r="AE6" s="256" t="s">
        <v>32</v>
      </c>
      <c r="AF6" s="257" t="s">
        <v>6</v>
      </c>
      <c r="AG6" s="258" t="s">
        <v>5</v>
      </c>
      <c r="AH6"/>
      <c r="AI6" s="259" t="s">
        <v>475</v>
      </c>
      <c r="AJ6" s="260" t="s">
        <v>476</v>
      </c>
      <c r="AK6"/>
      <c r="AL6" s="240" t="s">
        <v>4</v>
      </c>
      <c r="AM6" s="166" t="s">
        <v>700</v>
      </c>
      <c r="AN6" s="193" t="s">
        <v>32</v>
      </c>
      <c r="AO6" s="169" t="s">
        <v>6</v>
      </c>
      <c r="AP6" s="168" t="s">
        <v>701</v>
      </c>
    </row>
    <row r="7" spans="1:42" s="43" customFormat="1" x14ac:dyDescent="0.25">
      <c r="A7" s="147">
        <v>1</v>
      </c>
      <c r="B7" s="261" t="s">
        <v>166</v>
      </c>
      <c r="C7" s="602" t="s">
        <v>162</v>
      </c>
      <c r="D7" s="146"/>
      <c r="E7" s="456">
        <v>0.2382</v>
      </c>
      <c r="F7" s="457">
        <v>0.27500000000000002</v>
      </c>
      <c r="G7" s="276"/>
      <c r="H7" s="601">
        <v>0.3</v>
      </c>
      <c r="I7" s="560">
        <v>0.30769999999999997</v>
      </c>
      <c r="J7" s="277"/>
      <c r="K7" s="278"/>
      <c r="L7" s="562">
        <v>0.18559999999999999</v>
      </c>
      <c r="M7" s="563"/>
      <c r="N7" s="563"/>
      <c r="O7" s="564">
        <v>0.1108</v>
      </c>
      <c r="P7" s="277"/>
      <c r="Q7" s="571">
        <v>7.5999999999999998E-2</v>
      </c>
      <c r="R7" s="694">
        <f>1/9</f>
        <v>0.1111111111111111</v>
      </c>
      <c r="S7" s="279"/>
      <c r="T7" s="571">
        <f>577/16778</f>
        <v>3.4390272976516867E-2</v>
      </c>
      <c r="U7" s="564">
        <f>1/6</f>
        <v>0.16666666666666666</v>
      </c>
      <c r="V7" s="277"/>
      <c r="W7" s="278"/>
      <c r="X7" s="276"/>
      <c r="Y7" s="276"/>
      <c r="Z7" s="276"/>
      <c r="AA7" s="280"/>
      <c r="AB7" s="279"/>
      <c r="AC7" s="281"/>
      <c r="AD7" s="282"/>
      <c r="AE7" s="282"/>
      <c r="AF7" s="282"/>
      <c r="AG7" s="283"/>
      <c r="AH7" s="277"/>
      <c r="AI7" s="281"/>
      <c r="AJ7" s="283"/>
      <c r="AK7" s="279"/>
      <c r="AL7" s="281"/>
      <c r="AM7" s="282"/>
      <c r="AN7" s="282"/>
      <c r="AO7" s="282"/>
      <c r="AP7" s="283"/>
    </row>
    <row r="8" spans="1:42" s="43" customFormat="1" x14ac:dyDescent="0.25">
      <c r="A8" s="147">
        <v>2</v>
      </c>
      <c r="B8" s="261" t="s">
        <v>167</v>
      </c>
      <c r="C8" s="602" t="s">
        <v>163</v>
      </c>
      <c r="D8" s="146"/>
      <c r="E8" s="456">
        <v>0.15240000000000001</v>
      </c>
      <c r="F8" s="457">
        <v>0.19489999999999999</v>
      </c>
      <c r="G8" s="276"/>
      <c r="H8" s="560">
        <v>0.2162</v>
      </c>
      <c r="I8" s="560">
        <v>0.23080000000000001</v>
      </c>
      <c r="J8" s="277"/>
      <c r="K8" s="278"/>
      <c r="L8" s="562">
        <v>0.1613</v>
      </c>
      <c r="M8" s="563"/>
      <c r="N8" s="563"/>
      <c r="O8" s="564">
        <v>0.15509999999999999</v>
      </c>
      <c r="P8" s="277"/>
      <c r="Q8" s="571">
        <v>0.218</v>
      </c>
      <c r="R8" s="694">
        <f t="shared" ref="R8:R16" si="0">1/9</f>
        <v>0.1111111111111111</v>
      </c>
      <c r="S8" s="279"/>
      <c r="T8" s="571">
        <f>6493/16778</f>
        <v>0.38699487424007628</v>
      </c>
      <c r="U8" s="564">
        <f t="shared" ref="U8:U14" si="1">1/6</f>
        <v>0.16666666666666666</v>
      </c>
      <c r="V8" s="277"/>
      <c r="W8" s="278"/>
      <c r="X8" s="604">
        <v>0</v>
      </c>
      <c r="Y8" s="604">
        <v>0</v>
      </c>
      <c r="Z8" s="605"/>
      <c r="AA8" s="606">
        <v>0.29199999999999998</v>
      </c>
      <c r="AB8" s="279"/>
      <c r="AC8" s="571">
        <v>0.63580000000000003</v>
      </c>
      <c r="AD8" s="562">
        <f>7.575/7.6098</f>
        <v>0.99542694945990695</v>
      </c>
      <c r="AE8" s="562">
        <v>1</v>
      </c>
      <c r="AF8" s="562">
        <v>0.58819999999999995</v>
      </c>
      <c r="AG8" s="564">
        <v>1</v>
      </c>
      <c r="AH8" s="277"/>
      <c r="AI8" s="624">
        <v>0</v>
      </c>
      <c r="AJ8" s="625">
        <v>0.53400000000000003</v>
      </c>
      <c r="AK8" s="279"/>
      <c r="AL8" s="278"/>
      <c r="AM8" s="604">
        <f>2.872/10.479</f>
        <v>0.27407195343067087</v>
      </c>
      <c r="AN8" s="605"/>
      <c r="AO8" s="605"/>
      <c r="AP8" s="606">
        <v>0.43848282685512374</v>
      </c>
    </row>
    <row r="9" spans="1:42" s="43" customFormat="1" x14ac:dyDescent="0.25">
      <c r="A9" s="147">
        <v>3</v>
      </c>
      <c r="B9" s="261" t="s">
        <v>168</v>
      </c>
      <c r="C9" s="602" t="s">
        <v>164</v>
      </c>
      <c r="D9" s="146"/>
      <c r="E9" s="456">
        <v>0.21729999999999999</v>
      </c>
      <c r="F9" s="457">
        <v>0.23910000000000001</v>
      </c>
      <c r="G9" s="276"/>
      <c r="H9" s="560">
        <v>0.2</v>
      </c>
      <c r="I9" s="560">
        <v>0.28839999999999999</v>
      </c>
      <c r="J9" s="277"/>
      <c r="K9" s="278"/>
      <c r="L9" s="562">
        <v>0.14510000000000001</v>
      </c>
      <c r="M9" s="563"/>
      <c r="N9" s="563"/>
      <c r="O9" s="564">
        <v>0.12470000000000001</v>
      </c>
      <c r="P9" s="277"/>
      <c r="Q9" s="571">
        <v>0.17599999999999999</v>
      </c>
      <c r="R9" s="694">
        <f t="shared" si="0"/>
        <v>0.1111111111111111</v>
      </c>
      <c r="S9" s="279"/>
      <c r="T9" s="571">
        <f>1039/16778</f>
        <v>6.1926332101561565E-2</v>
      </c>
      <c r="U9" s="564">
        <f t="shared" si="1"/>
        <v>0.16666666666666666</v>
      </c>
      <c r="V9" s="277"/>
      <c r="W9" s="278"/>
      <c r="X9" s="607">
        <f>1.275/3.052</f>
        <v>0.41775884665792917</v>
      </c>
      <c r="Y9" s="607">
        <v>1</v>
      </c>
      <c r="Z9" s="608"/>
      <c r="AA9" s="606">
        <v>0.29899999999999999</v>
      </c>
      <c r="AB9" s="279"/>
      <c r="AC9" s="571">
        <v>8.5300000000000001E-2</v>
      </c>
      <c r="AD9" s="562">
        <f>0.0079/7.6098</f>
        <v>1.0381350364004312E-3</v>
      </c>
      <c r="AE9" s="562">
        <v>0</v>
      </c>
      <c r="AF9" s="562">
        <v>8.9599999999999999E-2</v>
      </c>
      <c r="AG9" s="564">
        <v>0</v>
      </c>
      <c r="AH9" s="277"/>
      <c r="AI9" s="626"/>
      <c r="AJ9" s="627"/>
      <c r="AK9" s="279"/>
      <c r="AL9" s="284"/>
      <c r="AM9" s="607">
        <f>0.679/10.479</f>
        <v>6.4796259185036745E-2</v>
      </c>
      <c r="AN9" s="608"/>
      <c r="AO9" s="608"/>
      <c r="AP9" s="625">
        <v>0.1231</v>
      </c>
    </row>
    <row r="10" spans="1:42" s="43" customFormat="1" x14ac:dyDescent="0.25">
      <c r="A10" s="147">
        <v>4</v>
      </c>
      <c r="B10" s="261" t="s">
        <v>169</v>
      </c>
      <c r="C10" s="602" t="s">
        <v>165</v>
      </c>
      <c r="D10" s="146"/>
      <c r="E10" s="458">
        <v>0.3921</v>
      </c>
      <c r="F10" s="459">
        <v>0.29099999999999998</v>
      </c>
      <c r="G10" s="285"/>
      <c r="H10" s="560">
        <v>0.2838</v>
      </c>
      <c r="I10" s="561">
        <v>0.1731</v>
      </c>
      <c r="J10" s="277"/>
      <c r="K10" s="284"/>
      <c r="L10" s="565">
        <v>0.31519999999999998</v>
      </c>
      <c r="M10" s="566"/>
      <c r="N10" s="566"/>
      <c r="O10" s="567">
        <v>0.44319999999999998</v>
      </c>
      <c r="P10" s="277"/>
      <c r="Q10" s="571">
        <v>0.23100000000000001</v>
      </c>
      <c r="R10" s="694">
        <f t="shared" si="0"/>
        <v>0.1111111111111111</v>
      </c>
      <c r="S10" s="279"/>
      <c r="T10" s="576">
        <f>7388/16778</f>
        <v>0.44033853856240313</v>
      </c>
      <c r="U10" s="564">
        <f t="shared" si="1"/>
        <v>0.16666666666666666</v>
      </c>
      <c r="V10" s="277"/>
      <c r="W10" s="278"/>
      <c r="X10" s="609"/>
      <c r="Y10" s="609"/>
      <c r="Z10" s="609"/>
      <c r="AA10" s="610"/>
      <c r="AB10" s="279"/>
      <c r="AC10" s="619"/>
      <c r="AD10" s="702"/>
      <c r="AE10" s="617"/>
      <c r="AF10" s="617"/>
      <c r="AG10" s="620"/>
      <c r="AH10" s="277"/>
      <c r="AI10" s="626"/>
      <c r="AJ10" s="627"/>
      <c r="AK10" s="279"/>
      <c r="AL10" s="281"/>
      <c r="AM10" s="611"/>
      <c r="AN10" s="611"/>
      <c r="AO10" s="611"/>
      <c r="AP10" s="627"/>
    </row>
    <row r="11" spans="1:42" s="43" customFormat="1" x14ac:dyDescent="0.25">
      <c r="A11" s="147">
        <v>5</v>
      </c>
      <c r="B11" s="261" t="s">
        <v>170</v>
      </c>
      <c r="C11" s="602" t="s">
        <v>171</v>
      </c>
      <c r="E11" s="281"/>
      <c r="F11" s="282"/>
      <c r="G11" s="282"/>
      <c r="H11" s="282"/>
      <c r="I11" s="283"/>
      <c r="J11" s="277"/>
      <c r="K11" s="281"/>
      <c r="L11" s="568"/>
      <c r="M11" s="568"/>
      <c r="N11" s="568"/>
      <c r="O11" s="569"/>
      <c r="P11" s="277"/>
      <c r="Q11" s="571">
        <v>4.7E-2</v>
      </c>
      <c r="R11" s="694">
        <f t="shared" si="0"/>
        <v>0.1111111111111111</v>
      </c>
      <c r="S11" s="279"/>
      <c r="T11" s="572"/>
      <c r="U11" s="573"/>
      <c r="V11" s="277"/>
      <c r="W11" s="278"/>
      <c r="X11" s="609"/>
      <c r="Y11" s="609"/>
      <c r="Z11" s="609"/>
      <c r="AA11" s="610"/>
      <c r="AB11" s="279"/>
      <c r="AC11" s="571">
        <v>0.14799999999999999</v>
      </c>
      <c r="AD11" s="562">
        <f>0.0141/7.6098</f>
        <v>1.8528739257273517E-3</v>
      </c>
      <c r="AE11" s="562">
        <v>0</v>
      </c>
      <c r="AF11" s="562">
        <v>0.2041</v>
      </c>
      <c r="AG11" s="564">
        <v>0</v>
      </c>
      <c r="AH11" s="277"/>
      <c r="AI11" s="624">
        <v>0.5</v>
      </c>
      <c r="AJ11" s="625">
        <v>0.23300000000000001</v>
      </c>
      <c r="AK11" s="279"/>
      <c r="AL11" s="278"/>
      <c r="AM11" s="604">
        <f>2.597/10.479</f>
        <v>0.24782899131596528</v>
      </c>
      <c r="AN11" s="605"/>
      <c r="AO11" s="605"/>
      <c r="AP11" s="606">
        <v>0.16302</v>
      </c>
    </row>
    <row r="12" spans="1:42" s="43" customFormat="1" x14ac:dyDescent="0.25">
      <c r="A12" s="147">
        <v>6</v>
      </c>
      <c r="B12" s="261" t="s">
        <v>172</v>
      </c>
      <c r="C12" s="602" t="s">
        <v>173</v>
      </c>
      <c r="E12" s="281"/>
      <c r="F12" s="282"/>
      <c r="G12" s="282"/>
      <c r="H12" s="282"/>
      <c r="I12" s="283"/>
      <c r="J12" s="277"/>
      <c r="K12" s="281"/>
      <c r="L12" s="568"/>
      <c r="M12" s="570"/>
      <c r="N12" s="568"/>
      <c r="O12" s="569"/>
      <c r="P12" s="277"/>
      <c r="Q12" s="571">
        <v>9.6000000000000002E-2</v>
      </c>
      <c r="R12" s="694">
        <f t="shared" si="0"/>
        <v>0.1111111111111111</v>
      </c>
      <c r="S12" s="279"/>
      <c r="T12" s="576">
        <f>675/16778</f>
        <v>4.0231255215162715E-2</v>
      </c>
      <c r="U12" s="564">
        <f t="shared" si="1"/>
        <v>0.16666666666666666</v>
      </c>
      <c r="V12" s="277"/>
      <c r="W12" s="278"/>
      <c r="X12" s="609"/>
      <c r="Y12" s="609"/>
      <c r="Z12" s="609"/>
      <c r="AA12" s="610"/>
      <c r="AB12" s="279"/>
      <c r="AC12" s="621"/>
      <c r="AD12" s="703"/>
      <c r="AE12" s="622"/>
      <c r="AF12" s="622"/>
      <c r="AG12" s="623"/>
      <c r="AH12" s="277"/>
      <c r="AI12" s="624">
        <v>0.5</v>
      </c>
      <c r="AJ12" s="625">
        <v>0.23300000000000001</v>
      </c>
      <c r="AK12" s="279"/>
      <c r="AL12" s="284"/>
      <c r="AM12" s="607">
        <f>2.554/10.479</f>
        <v>0.24372554633075674</v>
      </c>
      <c r="AN12" s="608"/>
      <c r="AO12" s="608"/>
      <c r="AP12" s="625">
        <v>0.15759717314487631</v>
      </c>
    </row>
    <row r="13" spans="1:42" s="43" customFormat="1" x14ac:dyDescent="0.25">
      <c r="A13" s="147">
        <v>7</v>
      </c>
      <c r="B13" s="261" t="s">
        <v>174</v>
      </c>
      <c r="C13" s="602" t="s">
        <v>175</v>
      </c>
      <c r="E13" s="281"/>
      <c r="F13" s="282"/>
      <c r="G13" s="282"/>
      <c r="H13" s="282"/>
      <c r="I13" s="283"/>
      <c r="J13" s="277"/>
      <c r="K13" s="284"/>
      <c r="L13" s="565">
        <v>0.1928</v>
      </c>
      <c r="M13" s="566"/>
      <c r="N13" s="566"/>
      <c r="O13" s="567">
        <v>0.16619999999999999</v>
      </c>
      <c r="P13" s="277"/>
      <c r="Q13" s="571">
        <v>8.1000000000000003E-2</v>
      </c>
      <c r="R13" s="694">
        <f t="shared" si="0"/>
        <v>0.1111111111111111</v>
      </c>
      <c r="S13" s="279"/>
      <c r="T13" s="572"/>
      <c r="U13" s="573"/>
      <c r="V13" s="277"/>
      <c r="W13" s="278"/>
      <c r="X13" s="611"/>
      <c r="Y13" s="611"/>
      <c r="Z13" s="611"/>
      <c r="AA13" s="610"/>
      <c r="AB13" s="279"/>
      <c r="AC13" s="621"/>
      <c r="AD13" s="703"/>
      <c r="AE13" s="622"/>
      <c r="AF13" s="622"/>
      <c r="AG13" s="623"/>
      <c r="AH13" s="277"/>
      <c r="AI13" s="281"/>
      <c r="AJ13" s="283"/>
      <c r="AK13" s="279"/>
      <c r="AL13" s="281"/>
      <c r="AM13" s="611"/>
      <c r="AN13" s="611"/>
      <c r="AO13" s="611"/>
      <c r="AP13" s="627"/>
    </row>
    <row r="14" spans="1:42" s="43" customFormat="1" x14ac:dyDescent="0.25">
      <c r="A14" s="147">
        <v>8</v>
      </c>
      <c r="B14" s="261" t="s">
        <v>176</v>
      </c>
      <c r="C14" s="602" t="s">
        <v>177</v>
      </c>
      <c r="E14" s="281"/>
      <c r="F14" s="282"/>
      <c r="G14" s="282"/>
      <c r="H14" s="282"/>
      <c r="I14" s="283"/>
      <c r="J14" s="277"/>
      <c r="K14" s="281"/>
      <c r="L14" s="286"/>
      <c r="M14" s="286"/>
      <c r="N14" s="286"/>
      <c r="O14" s="287"/>
      <c r="P14" s="277"/>
      <c r="Q14" s="572"/>
      <c r="R14" s="573"/>
      <c r="S14" s="279"/>
      <c r="T14" s="576">
        <f>606/16778</f>
        <v>3.6118726904279412E-2</v>
      </c>
      <c r="U14" s="564">
        <f t="shared" si="1"/>
        <v>0.16666666666666666</v>
      </c>
      <c r="V14" s="277"/>
      <c r="W14" s="278"/>
      <c r="X14" s="609"/>
      <c r="Y14" s="609"/>
      <c r="Z14" s="609"/>
      <c r="AA14" s="610"/>
      <c r="AB14" s="279"/>
      <c r="AC14" s="619"/>
      <c r="AD14" s="702"/>
      <c r="AE14" s="617"/>
      <c r="AF14" s="617"/>
      <c r="AG14" s="620"/>
      <c r="AH14" s="277"/>
      <c r="AI14" s="281"/>
      <c r="AJ14" s="283"/>
      <c r="AK14" s="279"/>
      <c r="AL14" s="281"/>
      <c r="AM14" s="611"/>
      <c r="AN14" s="611"/>
      <c r="AO14" s="611"/>
      <c r="AP14" s="627"/>
    </row>
    <row r="15" spans="1:42" s="43" customFormat="1" x14ac:dyDescent="0.25">
      <c r="A15" s="147">
        <v>9</v>
      </c>
      <c r="B15" s="261" t="s">
        <v>179</v>
      </c>
      <c r="C15" s="602" t="s">
        <v>178</v>
      </c>
      <c r="E15" s="281"/>
      <c r="F15" s="282"/>
      <c r="G15" s="282"/>
      <c r="H15" s="282"/>
      <c r="I15" s="283"/>
      <c r="J15" s="277"/>
      <c r="K15" s="281"/>
      <c r="L15" s="282"/>
      <c r="M15" s="282"/>
      <c r="N15" s="282"/>
      <c r="O15" s="283"/>
      <c r="P15" s="277"/>
      <c r="Q15" s="571">
        <v>8.9999999999999993E-3</v>
      </c>
      <c r="R15" s="694">
        <f t="shared" si="0"/>
        <v>0.1111111111111111</v>
      </c>
      <c r="S15" s="279"/>
      <c r="T15" s="572"/>
      <c r="U15" s="573"/>
      <c r="V15" s="277"/>
      <c r="W15" s="278"/>
      <c r="X15" s="612">
        <f>0.05/3.052</f>
        <v>1.6382699868938401E-2</v>
      </c>
      <c r="Y15" s="612">
        <v>0</v>
      </c>
      <c r="Z15" s="613"/>
      <c r="AA15" s="606">
        <v>0.03</v>
      </c>
      <c r="AB15" s="279"/>
      <c r="AC15" s="571">
        <v>3.7000000000000002E-3</v>
      </c>
      <c r="AD15" s="562">
        <f>0.0004/7.6098</f>
        <v>5.2563799311414235E-5</v>
      </c>
      <c r="AE15" s="562">
        <v>0</v>
      </c>
      <c r="AF15" s="562">
        <v>5.8999999999999999E-3</v>
      </c>
      <c r="AG15" s="564">
        <v>0</v>
      </c>
      <c r="AH15" s="277"/>
      <c r="AI15" s="281"/>
      <c r="AJ15" s="283"/>
      <c r="AK15" s="279"/>
      <c r="AL15" s="278"/>
      <c r="AM15" s="604">
        <f>0.05/10.479</f>
        <v>4.7714476572192008E-3</v>
      </c>
      <c r="AN15" s="605"/>
      <c r="AO15" s="605"/>
      <c r="AP15" s="606">
        <v>7.7999999999999996E-3</v>
      </c>
    </row>
    <row r="16" spans="1:42" s="43" customFormat="1" x14ac:dyDescent="0.25">
      <c r="A16" s="148">
        <v>10</v>
      </c>
      <c r="B16" s="262" t="s">
        <v>180</v>
      </c>
      <c r="C16" s="603" t="s">
        <v>181</v>
      </c>
      <c r="E16" s="288"/>
      <c r="F16" s="289"/>
      <c r="G16" s="289"/>
      <c r="H16" s="289"/>
      <c r="I16" s="290"/>
      <c r="J16" s="277"/>
      <c r="K16" s="288"/>
      <c r="L16" s="289"/>
      <c r="M16" s="289"/>
      <c r="N16" s="289"/>
      <c r="O16" s="290"/>
      <c r="P16" s="277"/>
      <c r="Q16" s="574">
        <v>6.6000000000000003E-2</v>
      </c>
      <c r="R16" s="694">
        <f t="shared" si="0"/>
        <v>0.1111111111111111</v>
      </c>
      <c r="S16" s="279"/>
      <c r="T16" s="577"/>
      <c r="U16" s="578"/>
      <c r="V16" s="277"/>
      <c r="W16" s="291"/>
      <c r="X16" s="614">
        <f>1.727/3.052</f>
        <v>0.56585845347313235</v>
      </c>
      <c r="Y16" s="614">
        <v>0</v>
      </c>
      <c r="Z16" s="615"/>
      <c r="AA16" s="616">
        <v>0.379</v>
      </c>
      <c r="AB16" s="279"/>
      <c r="AC16" s="574">
        <v>0.12720000000000001</v>
      </c>
      <c r="AD16" s="618">
        <f>0.0124/7.6098</f>
        <v>1.6294777786538411E-3</v>
      </c>
      <c r="AE16" s="618">
        <v>0</v>
      </c>
      <c r="AF16" s="618">
        <v>0.11219999999999999</v>
      </c>
      <c r="AG16" s="575">
        <v>0</v>
      </c>
      <c r="AH16" s="277"/>
      <c r="AI16" s="288"/>
      <c r="AJ16" s="290"/>
      <c r="AK16" s="279"/>
      <c r="AL16" s="291"/>
      <c r="AM16" s="614">
        <f>1.727/10.479</f>
        <v>0.1648058020803512</v>
      </c>
      <c r="AN16" s="615"/>
      <c r="AO16" s="615"/>
      <c r="AP16" s="616">
        <v>0.11</v>
      </c>
    </row>
    <row r="17" spans="1:42" s="89" customFormat="1" ht="15.75" thickBot="1" x14ac:dyDescent="0.3">
      <c r="A17" s="183"/>
      <c r="B17" s="183"/>
      <c r="C17" s="183" t="s">
        <v>187</v>
      </c>
      <c r="D17" s="184"/>
      <c r="E17" s="292">
        <f>SUM(E7:E16)</f>
        <v>1</v>
      </c>
      <c r="F17" s="292">
        <f>SUM(F7:F16)</f>
        <v>1</v>
      </c>
      <c r="G17" s="292"/>
      <c r="H17" s="292">
        <f>SUM(H7:H16)</f>
        <v>1</v>
      </c>
      <c r="I17" s="292">
        <f>SUM(I7:I16)</f>
        <v>1</v>
      </c>
      <c r="J17" s="230"/>
      <c r="K17" s="292"/>
      <c r="L17" s="292">
        <f>SUM(L7:L16)</f>
        <v>0.99999999999999989</v>
      </c>
      <c r="M17" s="292"/>
      <c r="N17" s="292"/>
      <c r="O17" s="292">
        <f>SUM(O7:O16)</f>
        <v>0.99999999999999989</v>
      </c>
      <c r="P17" s="230"/>
      <c r="Q17" s="292">
        <f>SUM(Q7:Q16)</f>
        <v>1</v>
      </c>
      <c r="R17" s="292">
        <f>SUM(R7:R16)</f>
        <v>1.0000000000000002</v>
      </c>
      <c r="S17" s="293"/>
      <c r="T17" s="294">
        <f>SUM(T7:T16)</f>
        <v>0.99999999999999989</v>
      </c>
      <c r="U17" s="294">
        <f>SUM(U7:U16)</f>
        <v>0.99999999999999989</v>
      </c>
      <c r="V17" s="293"/>
      <c r="W17" s="292"/>
      <c r="X17" s="292">
        <f>SUM(X7:X16)</f>
        <v>1</v>
      </c>
      <c r="Y17" s="292">
        <f>SUM(Y7:Y16)</f>
        <v>1</v>
      </c>
      <c r="Z17" s="292"/>
      <c r="AA17" s="292">
        <f>SUM(AA7:AA16)</f>
        <v>1</v>
      </c>
      <c r="AB17" s="293"/>
      <c r="AC17" s="294">
        <f t="shared" ref="AC17:AG17" si="2">SUM(AC7:AC16)</f>
        <v>1.0000000000000002</v>
      </c>
      <c r="AD17" s="294">
        <f t="shared" si="2"/>
        <v>0.99999999999999989</v>
      </c>
      <c r="AE17" s="294">
        <f t="shared" si="2"/>
        <v>1</v>
      </c>
      <c r="AF17" s="294">
        <f t="shared" si="2"/>
        <v>0.99999999999999989</v>
      </c>
      <c r="AG17" s="294">
        <f t="shared" si="2"/>
        <v>1</v>
      </c>
      <c r="AH17" s="293"/>
      <c r="AI17" s="294">
        <f>SUM(AI7:AI16)</f>
        <v>1</v>
      </c>
      <c r="AJ17" s="294">
        <f>SUM(AJ7:AJ16)</f>
        <v>1</v>
      </c>
      <c r="AK17" s="293"/>
      <c r="AL17" s="292"/>
      <c r="AM17" s="294">
        <f t="shared" ref="AM17" si="3">SUM(AM7:AM16)</f>
        <v>1</v>
      </c>
      <c r="AN17" s="294"/>
      <c r="AO17" s="294"/>
      <c r="AP17" s="294">
        <f t="shared" ref="AP17" si="4">SUM(AP7:AP16)</f>
        <v>1</v>
      </c>
    </row>
    <row r="18" spans="1:42" ht="15.75" thickTop="1" x14ac:dyDescent="0.25">
      <c r="E18" s="695">
        <f t="shared" ref="E18" si="5">1-E17</f>
        <v>0</v>
      </c>
      <c r="F18" s="695">
        <f t="shared" ref="F18" si="6">1-F17</f>
        <v>0</v>
      </c>
      <c r="G18" s="695">
        <f t="shared" ref="G18" si="7">1-G17</f>
        <v>1</v>
      </c>
      <c r="H18" s="695">
        <f t="shared" ref="H18" si="8">1-H17</f>
        <v>0</v>
      </c>
      <c r="I18" s="695">
        <f t="shared" ref="I18" si="9">1-I17</f>
        <v>0</v>
      </c>
      <c r="J18" s="695">
        <f t="shared" ref="J18" si="10">1-J17</f>
        <v>1</v>
      </c>
      <c r="K18" s="695">
        <f t="shared" ref="K18" si="11">1-K17</f>
        <v>1</v>
      </c>
      <c r="L18" s="695">
        <f t="shared" ref="L18" si="12">1-L17</f>
        <v>0</v>
      </c>
      <c r="M18" s="695">
        <f t="shared" ref="M18" si="13">1-M17</f>
        <v>1</v>
      </c>
      <c r="N18" s="695">
        <f t="shared" ref="N18" si="14">1-N17</f>
        <v>1</v>
      </c>
      <c r="O18" s="695">
        <f t="shared" ref="O18" si="15">1-O17</f>
        <v>0</v>
      </c>
      <c r="P18" s="695">
        <f t="shared" ref="P18:Q18" si="16">1-P17</f>
        <v>1</v>
      </c>
      <c r="Q18" s="695">
        <f t="shared" si="16"/>
        <v>0</v>
      </c>
      <c r="R18" s="695">
        <f t="shared" ref="R18" si="17">1-R17</f>
        <v>0</v>
      </c>
      <c r="S18" s="695">
        <f t="shared" ref="S18" si="18">1-S17</f>
        <v>1</v>
      </c>
      <c r="T18" s="695">
        <f t="shared" ref="T18" si="19">1-T17</f>
        <v>0</v>
      </c>
      <c r="U18" s="695">
        <f t="shared" ref="U18" si="20">1-U17</f>
        <v>0</v>
      </c>
      <c r="V18" s="695">
        <f t="shared" ref="V18" si="21">1-V17</f>
        <v>1</v>
      </c>
      <c r="W18" s="695">
        <f t="shared" ref="W18" si="22">1-W17</f>
        <v>1</v>
      </c>
      <c r="X18" s="695">
        <f t="shared" ref="X18" si="23">1-X17</f>
        <v>0</v>
      </c>
      <c r="Y18" s="695">
        <f t="shared" ref="Y18" si="24">1-Y17</f>
        <v>0</v>
      </c>
      <c r="Z18" s="695">
        <f t="shared" ref="Z18" si="25">1-Z17</f>
        <v>1</v>
      </c>
      <c r="AA18" s="695">
        <f t="shared" ref="AA18" si="26">1-AA17</f>
        <v>0</v>
      </c>
      <c r="AB18" s="695">
        <f t="shared" ref="AB18" si="27">1-AB17</f>
        <v>1</v>
      </c>
      <c r="AC18" s="695">
        <f t="shared" ref="AC18" si="28">1-AC17</f>
        <v>0</v>
      </c>
      <c r="AD18" s="695">
        <f>1-AD17</f>
        <v>0</v>
      </c>
      <c r="AE18" s="695">
        <f t="shared" ref="AE18:AP18" si="29">1-AE17</f>
        <v>0</v>
      </c>
      <c r="AF18" s="695">
        <f t="shared" si="29"/>
        <v>0</v>
      </c>
      <c r="AG18" s="695">
        <f t="shared" si="29"/>
        <v>0</v>
      </c>
      <c r="AH18" s="695">
        <f t="shared" si="29"/>
        <v>1</v>
      </c>
      <c r="AI18" s="695">
        <f t="shared" si="29"/>
        <v>0</v>
      </c>
      <c r="AJ18" s="695">
        <f t="shared" si="29"/>
        <v>0</v>
      </c>
      <c r="AK18" s="695">
        <f t="shared" si="29"/>
        <v>1</v>
      </c>
      <c r="AL18" s="695">
        <f t="shared" si="29"/>
        <v>1</v>
      </c>
      <c r="AM18" s="695">
        <f t="shared" si="29"/>
        <v>0</v>
      </c>
      <c r="AN18" s="695">
        <f t="shared" si="29"/>
        <v>1</v>
      </c>
      <c r="AO18" s="695">
        <f t="shared" si="29"/>
        <v>1</v>
      </c>
      <c r="AP18" s="695">
        <f t="shared" si="29"/>
        <v>0</v>
      </c>
    </row>
    <row r="19" spans="1:42" x14ac:dyDescent="0.25">
      <c r="AB19" s="85"/>
    </row>
    <row r="20" spans="1:42" x14ac:dyDescent="0.25">
      <c r="AB20" s="85"/>
    </row>
    <row r="21" spans="1:42" x14ac:dyDescent="0.25">
      <c r="AB21" s="85"/>
    </row>
    <row r="22" spans="1:42" x14ac:dyDescent="0.25">
      <c r="AB22" s="85"/>
    </row>
  </sheetData>
  <mergeCells count="28">
    <mergeCell ref="AF5:AG5"/>
    <mergeCell ref="AI5:AJ5"/>
    <mergeCell ref="AL5:AN5"/>
    <mergeCell ref="AO5:AP5"/>
    <mergeCell ref="Q5:R5"/>
    <mergeCell ref="W5:Y5"/>
    <mergeCell ref="Z5:AA5"/>
    <mergeCell ref="AC5:AE5"/>
    <mergeCell ref="E5:G5"/>
    <mergeCell ref="H5:I5"/>
    <mergeCell ref="K5:M5"/>
    <mergeCell ref="N5:O5"/>
    <mergeCell ref="E3:I3"/>
    <mergeCell ref="K3:O3"/>
    <mergeCell ref="K4:O4"/>
    <mergeCell ref="E4:I4"/>
    <mergeCell ref="T3:U3"/>
    <mergeCell ref="T4:U4"/>
    <mergeCell ref="Q3:R3"/>
    <mergeCell ref="Q4:R4"/>
    <mergeCell ref="W3:AA3"/>
    <mergeCell ref="AC3:AG3"/>
    <mergeCell ref="W4:AA4"/>
    <mergeCell ref="AC4:AG4"/>
    <mergeCell ref="AL3:AP3"/>
    <mergeCell ref="AL4:AP4"/>
    <mergeCell ref="AI3:AJ3"/>
    <mergeCell ref="AI4:AJ4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CO98"/>
  <sheetViews>
    <sheetView showGridLines="0" zoomScale="90" zoomScaleNormal="90" workbookViewId="0">
      <pane xSplit="14" ySplit="5" topLeftCell="AF6" activePane="bottomRight" state="frozen"/>
      <selection activeCell="B37" sqref="B37:L37"/>
      <selection pane="topRight" activeCell="B37" sqref="B37:L37"/>
      <selection pane="bottomLeft" activeCell="B37" sqref="B37:L37"/>
      <selection pane="bottomRight" activeCell="G9" sqref="G9"/>
    </sheetView>
  </sheetViews>
  <sheetFormatPr defaultRowHeight="15" outlineLevelCol="1" x14ac:dyDescent="0.25"/>
  <cols>
    <col min="1" max="1" width="3.7109375" style="3" customWidth="1"/>
    <col min="2" max="2" width="12.7109375" style="3" bestFit="1" customWidth="1"/>
    <col min="3" max="3" width="5" style="3" bestFit="1" customWidth="1" outlineLevel="1"/>
    <col min="4" max="4" width="4.5703125" style="3" hidden="1" customWidth="1" outlineLevel="1"/>
    <col min="5" max="5" width="4" style="3" hidden="1" customWidth="1" outlineLevel="1"/>
    <col min="6" max="6" width="16" style="3" hidden="1" customWidth="1" outlineLevel="1"/>
    <col min="7" max="7" width="45.7109375" bestFit="1" customWidth="1" collapsed="1"/>
    <col min="8" max="11" width="11.5703125" hidden="1" customWidth="1" outlineLevel="1"/>
    <col min="12" max="12" width="15.28515625" style="4" bestFit="1" customWidth="1" collapsed="1"/>
    <col min="13" max="13" width="2.28515625" customWidth="1"/>
    <col min="14" max="14" width="28.5703125" style="6" bestFit="1" customWidth="1"/>
    <col min="15" max="15" width="3" customWidth="1"/>
    <col min="16" max="16" width="6.28515625" bestFit="1" customWidth="1"/>
    <col min="17" max="17" width="7.28515625" bestFit="1" customWidth="1"/>
    <col min="18" max="18" width="5.28515625" bestFit="1" customWidth="1"/>
    <col min="19" max="19" width="8.28515625" bestFit="1" customWidth="1"/>
    <col min="20" max="20" width="9.28515625" bestFit="1" customWidth="1"/>
    <col min="21" max="21" width="3.140625" style="11" customWidth="1"/>
    <col min="22" max="23" width="12.28515625" bestFit="1" customWidth="1"/>
    <col min="24" max="24" width="5.5703125" bestFit="1" customWidth="1"/>
    <col min="25" max="26" width="10.7109375" bestFit="1" customWidth="1"/>
    <col min="27" max="27" width="6.85546875" style="47" customWidth="1"/>
    <col min="28" max="28" width="7.5703125" bestFit="1" customWidth="1"/>
    <col min="29" max="29" width="6.28515625" bestFit="1" customWidth="1"/>
    <col min="30" max="30" width="7.28515625" bestFit="1" customWidth="1"/>
    <col min="31" max="31" width="5.28515625" bestFit="1" customWidth="1"/>
    <col min="32" max="32" width="8.28515625" bestFit="1" customWidth="1"/>
    <col min="33" max="33" width="9.28515625" style="43" bestFit="1" customWidth="1"/>
    <col min="34" max="34" width="1.28515625" style="43" customWidth="1"/>
    <col min="35" max="36" width="10.7109375" bestFit="1" customWidth="1"/>
    <col min="37" max="37" width="5.28515625" bestFit="1" customWidth="1"/>
    <col min="38" max="39" width="10.7109375" bestFit="1" customWidth="1"/>
    <col min="40" max="40" width="1.28515625" customWidth="1"/>
    <col min="41" max="42" width="10.7109375" bestFit="1" customWidth="1"/>
    <col min="43" max="43" width="5.5703125" bestFit="1" customWidth="1"/>
    <col min="44" max="44" width="10.7109375" customWidth="1"/>
    <col min="45" max="45" width="10.7109375" bestFit="1" customWidth="1"/>
    <col min="46" max="46" width="1.28515625" customWidth="1"/>
    <col min="47" max="48" width="10.7109375" bestFit="1" customWidth="1"/>
    <col min="49" max="49" width="5.5703125" bestFit="1" customWidth="1"/>
    <col min="50" max="50" width="10.7109375" customWidth="1"/>
    <col min="51" max="51" width="10.7109375" bestFit="1" customWidth="1"/>
    <col min="52" max="52" width="1.28515625" customWidth="1"/>
    <col min="53" max="54" width="10.7109375" bestFit="1" customWidth="1"/>
    <col min="55" max="55" width="5.5703125" bestFit="1" customWidth="1"/>
    <col min="56" max="57" width="10.7109375" bestFit="1" customWidth="1"/>
    <col min="58" max="58" width="1.5703125" customWidth="1"/>
    <col min="59" max="62" width="10.140625" hidden="1" customWidth="1"/>
    <col min="63" max="63" width="10.85546875" hidden="1" customWidth="1"/>
    <col min="64" max="64" width="2.7109375" hidden="1" customWidth="1"/>
    <col min="65" max="68" width="10.140625" hidden="1" customWidth="1"/>
    <col min="69" max="69" width="10.85546875" hidden="1" customWidth="1"/>
    <col min="70" max="70" width="2.7109375" hidden="1" customWidth="1"/>
    <col min="71" max="74" width="10.140625" hidden="1" customWidth="1"/>
    <col min="75" max="75" width="10.85546875" hidden="1" customWidth="1"/>
    <col min="76" max="76" width="2.7109375" hidden="1" customWidth="1"/>
    <col min="77" max="80" width="10.140625" hidden="1" customWidth="1"/>
    <col min="81" max="81" width="10.85546875" hidden="1" customWidth="1"/>
    <col min="82" max="82" width="2.7109375" hidden="1" customWidth="1"/>
    <col min="83" max="86" width="10.140625" hidden="1" customWidth="1"/>
    <col min="87" max="87" width="10.85546875" hidden="1" customWidth="1"/>
    <col min="88" max="88" width="2.7109375" hidden="1" customWidth="1"/>
    <col min="89" max="92" width="10.140625" hidden="1" customWidth="1"/>
    <col min="93" max="93" width="10.85546875" hidden="1" customWidth="1"/>
  </cols>
  <sheetData>
    <row r="1" spans="1:93" ht="23.25" x14ac:dyDescent="0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BM1" s="76"/>
      <c r="BN1" s="76"/>
      <c r="BO1" s="76"/>
      <c r="BP1" s="76"/>
    </row>
    <row r="2" spans="1:93" ht="23.25" x14ac:dyDescent="0.25">
      <c r="A2" s="752" t="s">
        <v>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BM2" s="76"/>
      <c r="BN2" s="76"/>
      <c r="BO2" s="76"/>
      <c r="BP2" s="76"/>
    </row>
    <row r="3" spans="1:93" ht="7.5" customHeight="1" x14ac:dyDescent="0.25">
      <c r="A3" s="158"/>
      <c r="B3" s="158"/>
      <c r="C3" s="158"/>
      <c r="D3" s="158"/>
      <c r="E3" s="158"/>
      <c r="F3" s="158"/>
      <c r="G3" s="158"/>
      <c r="H3" s="1"/>
      <c r="I3" s="1"/>
      <c r="J3" s="1"/>
      <c r="K3" s="1"/>
      <c r="L3" s="1"/>
      <c r="N3" s="2"/>
      <c r="AH3" s="300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M3" s="76"/>
      <c r="BN3" s="76"/>
      <c r="BO3" s="76"/>
      <c r="BP3" s="76"/>
    </row>
    <row r="4" spans="1:93" ht="24" thickBot="1" x14ac:dyDescent="0.3">
      <c r="H4" s="1"/>
      <c r="I4" s="1"/>
      <c r="J4" s="1"/>
      <c r="K4" s="1"/>
      <c r="L4" s="1"/>
      <c r="N4" s="2"/>
      <c r="P4" s="759" t="s">
        <v>2</v>
      </c>
      <c r="Q4" s="759"/>
      <c r="R4" s="759"/>
      <c r="S4" s="759"/>
      <c r="T4" s="759"/>
      <c r="V4" s="759" t="s">
        <v>184</v>
      </c>
      <c r="W4" s="759"/>
      <c r="X4" s="759"/>
      <c r="Y4" s="759"/>
      <c r="Z4" s="759"/>
      <c r="AC4" s="759" t="s">
        <v>248</v>
      </c>
      <c r="AD4" s="759"/>
      <c r="AE4" s="759"/>
      <c r="AF4" s="759"/>
      <c r="AG4" s="759"/>
      <c r="AH4" s="300"/>
      <c r="AI4" s="759" t="s">
        <v>162</v>
      </c>
      <c r="AJ4" s="759"/>
      <c r="AK4" s="759"/>
      <c r="AL4" s="759"/>
      <c r="AM4" s="759"/>
      <c r="AN4" s="301"/>
      <c r="AO4" s="759" t="s">
        <v>163</v>
      </c>
      <c r="AP4" s="759"/>
      <c r="AQ4" s="759"/>
      <c r="AR4" s="759"/>
      <c r="AS4" s="759"/>
      <c r="AT4" s="301"/>
      <c r="AU4" s="759" t="s">
        <v>164</v>
      </c>
      <c r="AV4" s="759"/>
      <c r="AW4" s="759"/>
      <c r="AX4" s="759"/>
      <c r="AY4" s="759"/>
      <c r="AZ4" s="301"/>
      <c r="BA4" s="759" t="s">
        <v>165</v>
      </c>
      <c r="BB4" s="759"/>
      <c r="BC4" s="759"/>
      <c r="BD4" s="759"/>
      <c r="BE4" s="759"/>
      <c r="BF4" s="301"/>
      <c r="BG4" s="759" t="s">
        <v>171</v>
      </c>
      <c r="BH4" s="759"/>
      <c r="BI4" s="759"/>
      <c r="BJ4" s="759"/>
      <c r="BK4" s="759"/>
      <c r="BM4" s="759" t="s">
        <v>173</v>
      </c>
      <c r="BN4" s="759"/>
      <c r="BO4" s="759"/>
      <c r="BP4" s="759"/>
      <c r="BQ4" s="759"/>
      <c r="BS4" s="759" t="s">
        <v>175</v>
      </c>
      <c r="BT4" s="759"/>
      <c r="BU4" s="759"/>
      <c r="BV4" s="759"/>
      <c r="BW4" s="759"/>
      <c r="BY4" s="759" t="s">
        <v>177</v>
      </c>
      <c r="BZ4" s="759"/>
      <c r="CA4" s="759"/>
      <c r="CB4" s="759"/>
      <c r="CC4" s="759"/>
      <c r="CE4" s="759" t="s">
        <v>178</v>
      </c>
      <c r="CF4" s="759"/>
      <c r="CG4" s="759"/>
      <c r="CH4" s="759"/>
      <c r="CI4" s="759"/>
      <c r="CK4" s="759" t="s">
        <v>181</v>
      </c>
      <c r="CL4" s="759"/>
      <c r="CM4" s="759"/>
      <c r="CN4" s="759"/>
      <c r="CO4" s="759"/>
    </row>
    <row r="5" spans="1:93" s="12" customFormat="1" ht="16.5" thickTop="1" thickBot="1" x14ac:dyDescent="0.3">
      <c r="A5" s="32" t="s">
        <v>36</v>
      </c>
      <c r="B5" s="32" t="s">
        <v>37</v>
      </c>
      <c r="C5" s="32" t="s">
        <v>38</v>
      </c>
      <c r="D5" s="32" t="s">
        <v>39</v>
      </c>
      <c r="E5" s="32" t="s">
        <v>40</v>
      </c>
      <c r="F5" s="32" t="s">
        <v>41</v>
      </c>
      <c r="G5" s="32" t="s">
        <v>42</v>
      </c>
      <c r="H5" s="214">
        <v>43101</v>
      </c>
      <c r="I5" s="214">
        <v>43191</v>
      </c>
      <c r="J5" s="214">
        <v>43282</v>
      </c>
      <c r="K5" s="214">
        <v>43374</v>
      </c>
      <c r="L5" s="32" t="s">
        <v>43</v>
      </c>
      <c r="M5" s="118"/>
      <c r="N5" s="322" t="s">
        <v>694</v>
      </c>
      <c r="O5" s="215"/>
      <c r="P5" s="216" t="s">
        <v>4</v>
      </c>
      <c r="Q5" s="216" t="s">
        <v>3</v>
      </c>
      <c r="R5" s="221" t="s">
        <v>32</v>
      </c>
      <c r="S5" s="217" t="s">
        <v>6</v>
      </c>
      <c r="T5" s="217" t="s">
        <v>5</v>
      </c>
      <c r="U5" s="321"/>
      <c r="V5" s="216" t="s">
        <v>4</v>
      </c>
      <c r="W5" s="216" t="s">
        <v>3</v>
      </c>
      <c r="X5" s="221" t="s">
        <v>32</v>
      </c>
      <c r="Y5" s="217" t="s">
        <v>6</v>
      </c>
      <c r="Z5" s="217" t="s">
        <v>5</v>
      </c>
      <c r="AA5" s="324" t="s">
        <v>185</v>
      </c>
      <c r="AB5" s="325"/>
      <c r="AC5" s="216" t="s">
        <v>4</v>
      </c>
      <c r="AD5" s="216" t="s">
        <v>3</v>
      </c>
      <c r="AE5" s="221" t="s">
        <v>32</v>
      </c>
      <c r="AF5" s="217" t="s">
        <v>6</v>
      </c>
      <c r="AG5" s="217" t="s">
        <v>5</v>
      </c>
      <c r="AH5" s="308"/>
      <c r="AI5" s="216" t="s">
        <v>4</v>
      </c>
      <c r="AJ5" s="216" t="s">
        <v>3</v>
      </c>
      <c r="AK5" s="221" t="s">
        <v>32</v>
      </c>
      <c r="AL5" s="217" t="s">
        <v>6</v>
      </c>
      <c r="AM5" s="217" t="s">
        <v>5</v>
      </c>
      <c r="AN5" s="317"/>
      <c r="AO5" s="216" t="s">
        <v>4</v>
      </c>
      <c r="AP5" s="216" t="s">
        <v>3</v>
      </c>
      <c r="AQ5" s="221" t="s">
        <v>32</v>
      </c>
      <c r="AR5" s="217" t="s">
        <v>6</v>
      </c>
      <c r="AS5" s="217" t="s">
        <v>5</v>
      </c>
      <c r="AT5" s="317"/>
      <c r="AU5" s="216" t="s">
        <v>4</v>
      </c>
      <c r="AV5" s="216" t="s">
        <v>3</v>
      </c>
      <c r="AW5" s="221" t="s">
        <v>32</v>
      </c>
      <c r="AX5" s="217" t="s">
        <v>6</v>
      </c>
      <c r="AY5" s="217" t="s">
        <v>5</v>
      </c>
      <c r="AZ5" s="317"/>
      <c r="BA5" s="216" t="s">
        <v>4</v>
      </c>
      <c r="BB5" s="216" t="s">
        <v>3</v>
      </c>
      <c r="BC5" s="221" t="s">
        <v>32</v>
      </c>
      <c r="BD5" s="217" t="s">
        <v>6</v>
      </c>
      <c r="BE5" s="217" t="s">
        <v>5</v>
      </c>
      <c r="BF5" s="317"/>
      <c r="BG5" s="216" t="s">
        <v>4</v>
      </c>
      <c r="BH5" s="216" t="s">
        <v>3</v>
      </c>
      <c r="BI5" s="216" t="s">
        <v>32</v>
      </c>
      <c r="BJ5" s="217" t="s">
        <v>6</v>
      </c>
      <c r="BK5" s="217" t="s">
        <v>5</v>
      </c>
      <c r="BL5" s="215"/>
      <c r="BM5" s="216" t="s">
        <v>4</v>
      </c>
      <c r="BN5" s="216" t="s">
        <v>3</v>
      </c>
      <c r="BO5" s="216" t="s">
        <v>32</v>
      </c>
      <c r="BP5" s="217" t="s">
        <v>6</v>
      </c>
      <c r="BQ5" s="217" t="s">
        <v>5</v>
      </c>
      <c r="BR5" s="215"/>
      <c r="BS5" s="216" t="s">
        <v>4</v>
      </c>
      <c r="BT5" s="216" t="s">
        <v>3</v>
      </c>
      <c r="BU5" s="216" t="s">
        <v>32</v>
      </c>
      <c r="BV5" s="217" t="s">
        <v>6</v>
      </c>
      <c r="BW5" s="217" t="s">
        <v>5</v>
      </c>
      <c r="BX5" s="215"/>
      <c r="BY5" s="216" t="s">
        <v>4</v>
      </c>
      <c r="BZ5" s="216" t="s">
        <v>3</v>
      </c>
      <c r="CA5" s="216" t="s">
        <v>32</v>
      </c>
      <c r="CB5" s="217" t="s">
        <v>6</v>
      </c>
      <c r="CC5" s="217" t="s">
        <v>5</v>
      </c>
      <c r="CD5" s="215"/>
      <c r="CE5" s="216" t="s">
        <v>4</v>
      </c>
      <c r="CF5" s="216" t="s">
        <v>3</v>
      </c>
      <c r="CG5" s="216" t="s">
        <v>32</v>
      </c>
      <c r="CH5" s="217" t="s">
        <v>6</v>
      </c>
      <c r="CI5" s="217" t="s">
        <v>5</v>
      </c>
      <c r="CJ5" s="215"/>
      <c r="CK5" s="216" t="s">
        <v>4</v>
      </c>
      <c r="CL5" s="216" t="s">
        <v>3</v>
      </c>
      <c r="CM5" s="216" t="s">
        <v>32</v>
      </c>
      <c r="CN5" s="217" t="s">
        <v>6</v>
      </c>
      <c r="CO5" s="217" t="s">
        <v>5</v>
      </c>
    </row>
    <row r="6" spans="1:93" ht="15.75" thickBot="1" x14ac:dyDescent="0.3">
      <c r="A6" s="761" t="s">
        <v>44</v>
      </c>
      <c r="B6" s="761"/>
      <c r="C6" s="761"/>
      <c r="D6" s="761"/>
      <c r="E6" s="761"/>
      <c r="F6" s="761"/>
      <c r="G6" s="761"/>
      <c r="H6" s="15"/>
      <c r="I6" s="15"/>
      <c r="J6" s="15"/>
      <c r="K6" s="15"/>
      <c r="L6" s="33"/>
      <c r="M6" s="33"/>
      <c r="N6" s="33"/>
      <c r="O6" s="30"/>
      <c r="P6" s="30"/>
      <c r="Q6" s="30"/>
      <c r="R6" s="30"/>
      <c r="S6" s="30"/>
      <c r="T6" s="30"/>
      <c r="U6" s="71"/>
      <c r="V6" s="30"/>
      <c r="W6" s="30"/>
      <c r="X6" s="30"/>
      <c r="Y6" s="30"/>
      <c r="Z6" s="30"/>
      <c r="AA6" s="323"/>
      <c r="AB6" s="30"/>
      <c r="AC6" s="30"/>
      <c r="AD6" s="30"/>
      <c r="AE6" s="30"/>
      <c r="AF6" s="30"/>
      <c r="AG6" s="30"/>
      <c r="AH6" s="309"/>
      <c r="AI6" s="30"/>
      <c r="AJ6" s="30"/>
      <c r="AK6" s="30"/>
      <c r="AL6" s="30"/>
      <c r="AM6" s="30"/>
      <c r="AN6" s="309"/>
      <c r="AO6" s="30"/>
      <c r="AP6" s="30"/>
      <c r="AQ6" s="30"/>
      <c r="AR6" s="30"/>
      <c r="AS6" s="30"/>
      <c r="AT6" s="309"/>
      <c r="AU6" s="30"/>
      <c r="AV6" s="30"/>
      <c r="AW6" s="30"/>
      <c r="AX6" s="30"/>
      <c r="AY6" s="30"/>
      <c r="AZ6" s="309"/>
      <c r="BA6" s="30"/>
      <c r="BB6" s="30"/>
      <c r="BC6" s="30"/>
      <c r="BD6" s="30"/>
      <c r="BE6" s="30"/>
      <c r="BF6" s="309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</row>
    <row r="7" spans="1:93" s="62" customFormat="1" x14ac:dyDescent="0.25">
      <c r="A7" s="35" t="s">
        <v>45</v>
      </c>
      <c r="B7" s="35" t="s">
        <v>46</v>
      </c>
      <c r="C7" s="35" t="s">
        <v>47</v>
      </c>
      <c r="D7" s="35" t="s">
        <v>48</v>
      </c>
      <c r="E7" s="35" t="s">
        <v>48</v>
      </c>
      <c r="F7" s="17" t="str">
        <f t="shared" ref="F7:F19" si="0">CONCATENATE(A7,"-",B7,"-",C7,"-",D7,"-",E7)</f>
        <v>02-5000-01-00-00</v>
      </c>
      <c r="G7" s="37" t="s">
        <v>49</v>
      </c>
      <c r="H7" s="31">
        <f t="shared" ref="H7:K19" si="1">($L7/4)</f>
        <v>307126.5</v>
      </c>
      <c r="I7" s="31">
        <f t="shared" si="1"/>
        <v>307126.5</v>
      </c>
      <c r="J7" s="31">
        <f t="shared" si="1"/>
        <v>307126.5</v>
      </c>
      <c r="K7" s="31">
        <f>($L7/4)</f>
        <v>307126.5</v>
      </c>
      <c r="L7" s="20">
        <v>1228506</v>
      </c>
      <c r="N7" s="206" t="s">
        <v>477</v>
      </c>
      <c r="P7" s="195">
        <f>INDEX('Apportionment Bases'!M$6:M$33,MATCH('PC2'!$N7,'Apportionment Bases'!$A$6:$A$33,0))</f>
        <v>0.42199999999999999</v>
      </c>
      <c r="Q7" s="195">
        <f>INDEX('Apportionment Bases'!N$6:N$33,MATCH('PC2'!$N7,'Apportionment Bases'!$A$6:$A$33,0))</f>
        <v>0.48399999999999999</v>
      </c>
      <c r="R7" s="199"/>
      <c r="S7" s="195">
        <f>INDEX('Apportionment Bases'!P$6:P$33,MATCH('PC2'!$N7,'Apportionment Bases'!$A$6:$A$33,0))</f>
        <v>4.7E-2</v>
      </c>
      <c r="T7" s="195">
        <f>INDEX('Apportionment Bases'!Q$6:Q$33,MATCH('PC2'!$N7,'Apportionment Bases'!$A$6:$A$33,0))</f>
        <v>4.7E-2</v>
      </c>
      <c r="U7" s="37"/>
      <c r="V7" s="97">
        <f>P7*$L7</f>
        <v>518429.53200000001</v>
      </c>
      <c r="W7" s="97">
        <f>Q7*$L7</f>
        <v>594596.90399999998</v>
      </c>
      <c r="X7" s="96"/>
      <c r="Y7" s="97">
        <f>S7*$L7</f>
        <v>57739.781999999999</v>
      </c>
      <c r="Z7" s="97">
        <f>T7*$L7</f>
        <v>57739.781999999999</v>
      </c>
      <c r="AA7" s="48" t="str">
        <f t="shared" ref="AA7:AA19" si="2">IF(SUM(V7:Z7)=L7,"TRUE","FALSE")</f>
        <v>TRUE</v>
      </c>
      <c r="AB7" s="59" t="s">
        <v>162</v>
      </c>
      <c r="AC7" s="599">
        <f>'Apportionment Assumptions'!E7</f>
        <v>0.2382</v>
      </c>
      <c r="AD7" s="599">
        <f>'Apportionment Assumptions'!F7</f>
        <v>0.27500000000000002</v>
      </c>
      <c r="AE7" s="600"/>
      <c r="AF7" s="599">
        <f>'Apportionment Assumptions'!H7</f>
        <v>0.3</v>
      </c>
      <c r="AG7" s="599">
        <f>'Apportionment Assumptions'!I7</f>
        <v>0.30769999999999997</v>
      </c>
      <c r="AH7" s="310"/>
      <c r="AI7" s="99">
        <f>$AC$7*$V7</f>
        <v>123489.91452239999</v>
      </c>
      <c r="AJ7" s="97">
        <f>$AD$7*$W7</f>
        <v>163514.14860000001</v>
      </c>
      <c r="AK7" s="100"/>
      <c r="AL7" s="97">
        <f t="shared" ref="AL7:AL19" si="3">$AF$7*$Y7</f>
        <v>17321.934600000001</v>
      </c>
      <c r="AM7" s="97">
        <f t="shared" ref="AM7:AM19" si="4">$AG$7*$Z7</f>
        <v>17766.530921399997</v>
      </c>
      <c r="AN7" s="318"/>
      <c r="AO7" s="97">
        <f>$AC$8*$V7</f>
        <v>79008.660676800006</v>
      </c>
      <c r="AP7" s="97">
        <f>$AD$8*$W7</f>
        <v>115886.93658959999</v>
      </c>
      <c r="AQ7" s="100"/>
      <c r="AR7" s="97">
        <f t="shared" ref="AR7:AR19" si="5">$AF$8*$Y7</f>
        <v>12483.340868400001</v>
      </c>
      <c r="AS7" s="97">
        <f t="shared" ref="AS7:AS19" si="6">$AG$8*$Z7</f>
        <v>13326.3416856</v>
      </c>
      <c r="AT7" s="318"/>
      <c r="AU7" s="97">
        <f>$AC$9*$V7</f>
        <v>112654.73730359999</v>
      </c>
      <c r="AV7" s="97">
        <f>$AD$9*$W7</f>
        <v>142168.11974639999</v>
      </c>
      <c r="AW7" s="100"/>
      <c r="AX7" s="97">
        <f t="shared" ref="AX7:AX19" si="7">$AF$9*$Y7</f>
        <v>11547.956400000001</v>
      </c>
      <c r="AY7" s="97">
        <f t="shared" ref="AY7:AY19" si="8">$AG$9*$Z7</f>
        <v>16652.153128800001</v>
      </c>
      <c r="AZ7" s="318"/>
      <c r="BA7" s="97">
        <f>$AC$10*$V7</f>
        <v>203276.21949720001</v>
      </c>
      <c r="BB7" s="97">
        <f>$AD$10*$W7</f>
        <v>173027.69906399999</v>
      </c>
      <c r="BC7" s="100"/>
      <c r="BD7" s="97">
        <f t="shared" ref="BD7:BD19" si="9">$AF$10*$Y7</f>
        <v>16386.550131600001</v>
      </c>
      <c r="BE7" s="97">
        <f t="shared" ref="BE7:BE19" si="10">$AG$10*$Z7</f>
        <v>9994.7562641999994</v>
      </c>
      <c r="BF7" s="318"/>
      <c r="BG7" s="101"/>
      <c r="BH7" s="101"/>
      <c r="BI7" s="101"/>
      <c r="BJ7" s="101"/>
      <c r="BK7" s="101"/>
      <c r="BM7" s="101"/>
      <c r="BN7" s="101"/>
      <c r="BO7" s="101"/>
      <c r="BP7" s="101"/>
      <c r="BQ7" s="101"/>
      <c r="BS7" s="101"/>
      <c r="BT7" s="101"/>
      <c r="BU7" s="101"/>
      <c r="BV7" s="101"/>
      <c r="BW7" s="101"/>
      <c r="BY7" s="101"/>
      <c r="BZ7" s="101"/>
      <c r="CA7" s="101"/>
      <c r="CB7" s="101"/>
      <c r="CC7" s="101"/>
      <c r="CE7" s="101"/>
      <c r="CF7" s="101"/>
      <c r="CG7" s="101"/>
      <c r="CH7" s="101"/>
      <c r="CI7" s="101"/>
      <c r="CK7" s="101"/>
      <c r="CL7" s="101"/>
      <c r="CM7" s="101"/>
      <c r="CN7" s="101"/>
      <c r="CO7" s="101"/>
    </row>
    <row r="8" spans="1:93" s="62" customFormat="1" x14ac:dyDescent="0.25">
      <c r="A8" s="35" t="s">
        <v>45</v>
      </c>
      <c r="B8" s="35" t="s">
        <v>46</v>
      </c>
      <c r="C8" s="35" t="s">
        <v>45</v>
      </c>
      <c r="D8" s="35" t="s">
        <v>48</v>
      </c>
      <c r="E8" s="35" t="s">
        <v>48</v>
      </c>
      <c r="F8" s="17" t="str">
        <f t="shared" si="0"/>
        <v>02-5000-02-00-00</v>
      </c>
      <c r="G8" s="37" t="s">
        <v>49</v>
      </c>
      <c r="H8" s="31">
        <f t="shared" si="1"/>
        <v>40798.5</v>
      </c>
      <c r="I8" s="31">
        <f t="shared" si="1"/>
        <v>40798.5</v>
      </c>
      <c r="J8" s="31">
        <f t="shared" si="1"/>
        <v>40798.5</v>
      </c>
      <c r="K8" s="31">
        <f t="shared" si="1"/>
        <v>40798.5</v>
      </c>
      <c r="L8" s="20">
        <v>163194</v>
      </c>
      <c r="N8" s="206" t="s">
        <v>478</v>
      </c>
      <c r="P8" s="195">
        <f>INDEX('Apportionment Bases'!M$6:M$33,MATCH('PC2'!$N8,'Apportionment Bases'!$A$6:$A$33,0))</f>
        <v>0.14799999999999999</v>
      </c>
      <c r="Q8" s="195">
        <f>INDEX('Apportionment Bases'!N$6:N$33,MATCH('PC2'!$N8,'Apportionment Bases'!$A$6:$A$33,0))</f>
        <v>0.55000000000000004</v>
      </c>
      <c r="R8" s="199"/>
      <c r="S8" s="195">
        <f>INDEX('Apportionment Bases'!$P$6:$P$33,MATCH('PC2'!N8,'Apportionment Bases'!$A$6:$A$33,0))</f>
        <v>0.151</v>
      </c>
      <c r="T8" s="195">
        <f>INDEX('Apportionment Bases'!Q$6:Q$33,MATCH('PC2'!$N8,'Apportionment Bases'!$A$6:$A$33,0))</f>
        <v>0.151</v>
      </c>
      <c r="U8" s="37"/>
      <c r="V8" s="97">
        <f t="shared" ref="V8:V19" si="11">P8*$L8</f>
        <v>24152.712</v>
      </c>
      <c r="W8" s="97">
        <f t="shared" ref="W8:W19" si="12">Q8*$L8</f>
        <v>89756.700000000012</v>
      </c>
      <c r="X8" s="96"/>
      <c r="Y8" s="97">
        <f t="shared" ref="Y8:Y19" si="13">S8*$L8</f>
        <v>24642.293999999998</v>
      </c>
      <c r="Z8" s="97">
        <f t="shared" ref="Z8:Z19" si="14">T8*$L8</f>
        <v>24642.293999999998</v>
      </c>
      <c r="AA8" s="48" t="str">
        <f t="shared" si="2"/>
        <v>TRUE</v>
      </c>
      <c r="AB8" s="59" t="s">
        <v>163</v>
      </c>
      <c r="AC8" s="599">
        <f>'Apportionment Assumptions'!E8</f>
        <v>0.15240000000000001</v>
      </c>
      <c r="AD8" s="599">
        <f>'Apportionment Assumptions'!F8</f>
        <v>0.19489999999999999</v>
      </c>
      <c r="AE8" s="600"/>
      <c r="AF8" s="599">
        <f>'Apportionment Assumptions'!H8</f>
        <v>0.2162</v>
      </c>
      <c r="AG8" s="599">
        <f>'Apportionment Assumptions'!I8</f>
        <v>0.23080000000000001</v>
      </c>
      <c r="AH8" s="310"/>
      <c r="AI8" s="99">
        <f>$AC$7*$V8</f>
        <v>5753.1759984</v>
      </c>
      <c r="AJ8" s="97">
        <f>$AD$7*$W8</f>
        <v>24683.092500000006</v>
      </c>
      <c r="AK8" s="100"/>
      <c r="AL8" s="97">
        <f t="shared" si="3"/>
        <v>7392.6881999999987</v>
      </c>
      <c r="AM8" s="97">
        <f t="shared" si="4"/>
        <v>7582.433863799999</v>
      </c>
      <c r="AN8" s="318"/>
      <c r="AO8" s="97">
        <f t="shared" ref="AO8:AO19" si="15">$AC$8*$V8</f>
        <v>3680.8733087999999</v>
      </c>
      <c r="AP8" s="97">
        <f t="shared" ref="AP8:AP19" si="16">$AD$8*$W8</f>
        <v>17493.580830000003</v>
      </c>
      <c r="AQ8" s="100"/>
      <c r="AR8" s="97">
        <f t="shared" si="5"/>
        <v>5327.6639627999994</v>
      </c>
      <c r="AS8" s="97">
        <f t="shared" si="6"/>
        <v>5687.4414551999998</v>
      </c>
      <c r="AT8" s="318"/>
      <c r="AU8" s="97">
        <f t="shared" ref="AU8:AU19" si="17">$AC$9*$V8</f>
        <v>5248.3843176</v>
      </c>
      <c r="AV8" s="97">
        <f t="shared" ref="AV8:AV19" si="18">$AD$9*$W8</f>
        <v>21460.826970000002</v>
      </c>
      <c r="AW8" s="100"/>
      <c r="AX8" s="97">
        <f t="shared" si="7"/>
        <v>4928.4588000000003</v>
      </c>
      <c r="AY8" s="97">
        <f t="shared" si="8"/>
        <v>7106.8375895999989</v>
      </c>
      <c r="AZ8" s="318"/>
      <c r="BA8" s="97">
        <f t="shared" ref="BA8:BA19" si="19">$AC$10*$V8</f>
        <v>9470.2783751999996</v>
      </c>
      <c r="BB8" s="97">
        <f t="shared" ref="BB8:BB19" si="20">$AD$10*$W8</f>
        <v>26119.199700000001</v>
      </c>
      <c r="BC8" s="100"/>
      <c r="BD8" s="97">
        <f t="shared" si="9"/>
        <v>6993.4830371999997</v>
      </c>
      <c r="BE8" s="97">
        <f t="shared" si="10"/>
        <v>4265.5810913999994</v>
      </c>
      <c r="BF8" s="318"/>
      <c r="BG8" s="101"/>
      <c r="BH8" s="101"/>
      <c r="BI8" s="101"/>
      <c r="BJ8" s="101"/>
      <c r="BK8" s="101"/>
      <c r="BM8" s="101"/>
      <c r="BN8" s="101"/>
      <c r="BO8" s="101"/>
      <c r="BP8" s="101"/>
      <c r="BQ8" s="101"/>
      <c r="BS8" s="101"/>
      <c r="BT8" s="101"/>
      <c r="BU8" s="101"/>
      <c r="BV8" s="101"/>
      <c r="BW8" s="101"/>
      <c r="BY8" s="101"/>
      <c r="BZ8" s="101"/>
      <c r="CA8" s="101"/>
      <c r="CB8" s="101"/>
      <c r="CC8" s="101"/>
      <c r="CE8" s="101"/>
      <c r="CF8" s="101"/>
      <c r="CG8" s="101"/>
      <c r="CH8" s="101"/>
      <c r="CI8" s="101"/>
      <c r="CK8" s="101"/>
      <c r="CL8" s="101"/>
      <c r="CM8" s="101"/>
      <c r="CN8" s="101"/>
      <c r="CO8" s="101"/>
    </row>
    <row r="9" spans="1:93" s="62" customFormat="1" x14ac:dyDescent="0.25">
      <c r="A9" s="35" t="s">
        <v>45</v>
      </c>
      <c r="B9" s="35" t="s">
        <v>50</v>
      </c>
      <c r="C9" s="35" t="s">
        <v>47</v>
      </c>
      <c r="D9" s="35" t="s">
        <v>48</v>
      </c>
      <c r="E9" s="35" t="s">
        <v>48</v>
      </c>
      <c r="F9" s="17" t="str">
        <f t="shared" si="0"/>
        <v>02-5001-01-00-00</v>
      </c>
      <c r="G9" s="37" t="s">
        <v>51</v>
      </c>
      <c r="H9" s="31">
        <f t="shared" si="1"/>
        <v>5477.5</v>
      </c>
      <c r="I9" s="31">
        <f t="shared" si="1"/>
        <v>5477.5</v>
      </c>
      <c r="J9" s="31">
        <f t="shared" si="1"/>
        <v>5477.5</v>
      </c>
      <c r="K9" s="31">
        <f t="shared" si="1"/>
        <v>5477.5</v>
      </c>
      <c r="L9" s="20">
        <v>21910</v>
      </c>
      <c r="N9" s="206" t="s">
        <v>531</v>
      </c>
      <c r="P9" s="195">
        <f>INDEX('Apportionment Bases'!M$6:M$33,MATCH('PC2'!$N9,'Apportionment Bases'!$A$6:$A$33,0))</f>
        <v>0.42199999999999999</v>
      </c>
      <c r="Q9" s="195">
        <f>INDEX('Apportionment Bases'!N$6:N$33,MATCH('PC2'!$N9,'Apportionment Bases'!$A$6:$A$33,0))</f>
        <v>0.48399999999999999</v>
      </c>
      <c r="R9" s="199"/>
      <c r="S9" s="195">
        <f>INDEX('Apportionment Bases'!$P$6:$P$33,MATCH('PC2'!N9,'Apportionment Bases'!$A$6:$A$33,0))</f>
        <v>4.7E-2</v>
      </c>
      <c r="T9" s="195">
        <f>INDEX('Apportionment Bases'!Q$6:Q$33,MATCH('PC2'!$N9,'Apportionment Bases'!$A$6:$A$33,0))</f>
        <v>4.7E-2</v>
      </c>
      <c r="U9" s="37"/>
      <c r="V9" s="97">
        <f t="shared" si="11"/>
        <v>9246.02</v>
      </c>
      <c r="W9" s="97">
        <f t="shared" si="12"/>
        <v>10604.44</v>
      </c>
      <c r="X9" s="96"/>
      <c r="Y9" s="97">
        <f t="shared" si="13"/>
        <v>1029.77</v>
      </c>
      <c r="Z9" s="97">
        <f t="shared" si="14"/>
        <v>1029.77</v>
      </c>
      <c r="AA9" s="48" t="str">
        <f t="shared" si="2"/>
        <v>TRUE</v>
      </c>
      <c r="AB9" s="59" t="s">
        <v>164</v>
      </c>
      <c r="AC9" s="599">
        <f>'Apportionment Assumptions'!E9</f>
        <v>0.21729999999999999</v>
      </c>
      <c r="AD9" s="599">
        <f>'Apportionment Assumptions'!F9</f>
        <v>0.23910000000000001</v>
      </c>
      <c r="AE9" s="600"/>
      <c r="AF9" s="599">
        <f>'Apportionment Assumptions'!H9</f>
        <v>0.2</v>
      </c>
      <c r="AG9" s="599">
        <f>'Apportionment Assumptions'!I9</f>
        <v>0.28839999999999999</v>
      </c>
      <c r="AH9" s="310"/>
      <c r="AI9" s="99">
        <f t="shared" ref="AI9:AI19" si="21">$AC$7*$V9</f>
        <v>2202.4019640000001</v>
      </c>
      <c r="AJ9" s="97">
        <f t="shared" ref="AJ9:AJ19" si="22">$AD$7*$W9</f>
        <v>2916.2210000000005</v>
      </c>
      <c r="AK9" s="100"/>
      <c r="AL9" s="97">
        <f t="shared" si="3"/>
        <v>308.93099999999998</v>
      </c>
      <c r="AM9" s="97">
        <f t="shared" si="4"/>
        <v>316.86022899999995</v>
      </c>
      <c r="AN9" s="318"/>
      <c r="AO9" s="97">
        <f t="shared" si="15"/>
        <v>1409.0934480000001</v>
      </c>
      <c r="AP9" s="97">
        <f t="shared" si="16"/>
        <v>2066.8053559999998</v>
      </c>
      <c r="AQ9" s="100"/>
      <c r="AR9" s="97">
        <f t="shared" si="5"/>
        <v>222.63627399999999</v>
      </c>
      <c r="AS9" s="97">
        <f t="shared" si="6"/>
        <v>237.67091600000001</v>
      </c>
      <c r="AT9" s="318"/>
      <c r="AU9" s="97">
        <f t="shared" si="17"/>
        <v>2009.1601459999999</v>
      </c>
      <c r="AV9" s="97">
        <f t="shared" si="18"/>
        <v>2535.521604</v>
      </c>
      <c r="AW9" s="100"/>
      <c r="AX9" s="97">
        <f t="shared" si="7"/>
        <v>205.95400000000001</v>
      </c>
      <c r="AY9" s="97">
        <f t="shared" si="8"/>
        <v>296.98566799999998</v>
      </c>
      <c r="AZ9" s="318"/>
      <c r="BA9" s="97">
        <f t="shared" si="19"/>
        <v>3625.3644420000001</v>
      </c>
      <c r="BB9" s="97">
        <f t="shared" si="20"/>
        <v>3085.8920399999997</v>
      </c>
      <c r="BC9" s="100"/>
      <c r="BD9" s="97">
        <f t="shared" si="9"/>
        <v>292.24872599999998</v>
      </c>
      <c r="BE9" s="97">
        <f t="shared" si="10"/>
        <v>178.253187</v>
      </c>
      <c r="BF9" s="318"/>
      <c r="BG9" s="101"/>
      <c r="BH9" s="101"/>
      <c r="BI9" s="101"/>
      <c r="BJ9" s="101"/>
      <c r="BK9" s="101"/>
      <c r="BM9" s="101"/>
      <c r="BN9" s="101"/>
      <c r="BO9" s="101"/>
      <c r="BP9" s="101"/>
      <c r="BQ9" s="101"/>
      <c r="BS9" s="101"/>
      <c r="BT9" s="101"/>
      <c r="BU9" s="101"/>
      <c r="BV9" s="101"/>
      <c r="BW9" s="101"/>
      <c r="BY9" s="101"/>
      <c r="BZ9" s="101"/>
      <c r="CA9" s="101"/>
      <c r="CB9" s="101"/>
      <c r="CC9" s="101"/>
      <c r="CE9" s="101"/>
      <c r="CF9" s="101"/>
      <c r="CG9" s="101"/>
      <c r="CH9" s="101"/>
      <c r="CI9" s="101"/>
      <c r="CK9" s="101"/>
      <c r="CL9" s="101"/>
      <c r="CM9" s="101"/>
      <c r="CN9" s="101"/>
      <c r="CO9" s="101"/>
    </row>
    <row r="10" spans="1:93" s="62" customFormat="1" x14ac:dyDescent="0.25">
      <c r="A10" s="35" t="s">
        <v>45</v>
      </c>
      <c r="B10" s="35" t="s">
        <v>50</v>
      </c>
      <c r="C10" s="35" t="s">
        <v>45</v>
      </c>
      <c r="D10" s="35" t="s">
        <v>48</v>
      </c>
      <c r="E10" s="35" t="s">
        <v>48</v>
      </c>
      <c r="F10" s="17" t="str">
        <f t="shared" si="0"/>
        <v>02-5001-02-00-00</v>
      </c>
      <c r="G10" s="37" t="s">
        <v>51</v>
      </c>
      <c r="H10" s="31">
        <f t="shared" si="1"/>
        <v>50</v>
      </c>
      <c r="I10" s="31">
        <f t="shared" si="1"/>
        <v>50</v>
      </c>
      <c r="J10" s="31">
        <f t="shared" si="1"/>
        <v>50</v>
      </c>
      <c r="K10" s="31">
        <f t="shared" si="1"/>
        <v>50</v>
      </c>
      <c r="L10" s="20">
        <v>200</v>
      </c>
      <c r="N10" s="206" t="s">
        <v>532</v>
      </c>
      <c r="P10" s="195">
        <f>INDEX('Apportionment Bases'!M$6:M$33,MATCH('PC2'!$N10,'Apportionment Bases'!$A$6:$A$33,0))</f>
        <v>0.14799999999999999</v>
      </c>
      <c r="Q10" s="195">
        <f>INDEX('Apportionment Bases'!N$6:N$33,MATCH('PC2'!$N10,'Apportionment Bases'!$A$6:$A$33,0))</f>
        <v>0.55000000000000004</v>
      </c>
      <c r="R10" s="199"/>
      <c r="S10" s="195">
        <f>INDEX('Apportionment Bases'!$P$6:$P$33,MATCH('PC2'!N10,'Apportionment Bases'!$A$6:$A$33,0))</f>
        <v>0.151</v>
      </c>
      <c r="T10" s="195">
        <f>INDEX('Apportionment Bases'!Q$6:Q$33,MATCH('PC2'!$N10,'Apportionment Bases'!$A$6:$A$33,0))</f>
        <v>0.151</v>
      </c>
      <c r="U10" s="37"/>
      <c r="V10" s="97">
        <f t="shared" si="11"/>
        <v>29.599999999999998</v>
      </c>
      <c r="W10" s="97">
        <f t="shared" si="12"/>
        <v>110.00000000000001</v>
      </c>
      <c r="X10" s="96"/>
      <c r="Y10" s="97">
        <f t="shared" si="13"/>
        <v>30.2</v>
      </c>
      <c r="Z10" s="97">
        <f t="shared" si="14"/>
        <v>30.2</v>
      </c>
      <c r="AA10" s="48" t="str">
        <f t="shared" si="2"/>
        <v>TRUE</v>
      </c>
      <c r="AB10" s="59" t="s">
        <v>165</v>
      </c>
      <c r="AC10" s="599">
        <f>'Apportionment Assumptions'!E10</f>
        <v>0.3921</v>
      </c>
      <c r="AD10" s="599">
        <f>'Apportionment Assumptions'!F10</f>
        <v>0.29099999999999998</v>
      </c>
      <c r="AE10" s="600"/>
      <c r="AF10" s="599">
        <f>'Apportionment Assumptions'!H10</f>
        <v>0.2838</v>
      </c>
      <c r="AG10" s="599">
        <f>'Apportionment Assumptions'!I10</f>
        <v>0.1731</v>
      </c>
      <c r="AH10" s="310"/>
      <c r="AI10" s="99">
        <f t="shared" si="21"/>
        <v>7.0507199999999992</v>
      </c>
      <c r="AJ10" s="97">
        <f t="shared" si="22"/>
        <v>30.250000000000007</v>
      </c>
      <c r="AK10" s="100"/>
      <c r="AL10" s="97">
        <f t="shared" si="3"/>
        <v>9.0599999999999987</v>
      </c>
      <c r="AM10" s="97">
        <f t="shared" si="4"/>
        <v>9.2925399999999989</v>
      </c>
      <c r="AN10" s="318"/>
      <c r="AO10" s="97">
        <f t="shared" si="15"/>
        <v>4.5110399999999995</v>
      </c>
      <c r="AP10" s="97">
        <f t="shared" si="16"/>
        <v>21.439</v>
      </c>
      <c r="AQ10" s="100"/>
      <c r="AR10" s="97">
        <f t="shared" si="5"/>
        <v>6.5292399999999997</v>
      </c>
      <c r="AS10" s="97">
        <f t="shared" si="6"/>
        <v>6.9701599999999999</v>
      </c>
      <c r="AT10" s="318"/>
      <c r="AU10" s="97">
        <f t="shared" si="17"/>
        <v>6.4320799999999991</v>
      </c>
      <c r="AV10" s="97">
        <f t="shared" si="18"/>
        <v>26.301000000000005</v>
      </c>
      <c r="AW10" s="100"/>
      <c r="AX10" s="97">
        <f t="shared" si="7"/>
        <v>6.04</v>
      </c>
      <c r="AY10" s="97">
        <f t="shared" si="8"/>
        <v>8.7096799999999988</v>
      </c>
      <c r="AZ10" s="318"/>
      <c r="BA10" s="97">
        <f t="shared" si="19"/>
        <v>11.606159999999999</v>
      </c>
      <c r="BB10" s="97">
        <f t="shared" si="20"/>
        <v>32.010000000000005</v>
      </c>
      <c r="BC10" s="100"/>
      <c r="BD10" s="97">
        <f t="shared" si="9"/>
        <v>8.5707599999999999</v>
      </c>
      <c r="BE10" s="97">
        <f t="shared" si="10"/>
        <v>5.2276199999999999</v>
      </c>
      <c r="BF10" s="318"/>
      <c r="BG10" s="101"/>
      <c r="BH10" s="101"/>
      <c r="BI10" s="101"/>
      <c r="BJ10" s="101"/>
      <c r="BK10" s="101"/>
      <c r="BM10" s="101"/>
      <c r="BN10" s="101"/>
      <c r="BO10" s="101"/>
      <c r="BP10" s="101"/>
      <c r="BQ10" s="101"/>
      <c r="BS10" s="101"/>
      <c r="BT10" s="101"/>
      <c r="BU10" s="101"/>
      <c r="BV10" s="101"/>
      <c r="BW10" s="101"/>
      <c r="BY10" s="101"/>
      <c r="BZ10" s="101"/>
      <c r="CA10" s="101"/>
      <c r="CB10" s="101"/>
      <c r="CC10" s="101"/>
      <c r="CE10" s="101"/>
      <c r="CF10" s="101"/>
      <c r="CG10" s="101"/>
      <c r="CH10" s="101"/>
      <c r="CI10" s="101"/>
      <c r="CK10" s="101"/>
      <c r="CL10" s="101"/>
      <c r="CM10" s="101"/>
      <c r="CN10" s="101"/>
      <c r="CO10" s="101"/>
    </row>
    <row r="11" spans="1:93" s="62" customFormat="1" x14ac:dyDescent="0.25">
      <c r="A11" s="35" t="s">
        <v>45</v>
      </c>
      <c r="B11" s="35" t="s">
        <v>52</v>
      </c>
      <c r="C11" s="35" t="s">
        <v>47</v>
      </c>
      <c r="D11" s="35" t="s">
        <v>48</v>
      </c>
      <c r="E11" s="35" t="s">
        <v>48</v>
      </c>
      <c r="F11" s="17" t="str">
        <f t="shared" si="0"/>
        <v>02-5302-01-00-00</v>
      </c>
      <c r="G11" s="36" t="s">
        <v>53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20">
        <v>0</v>
      </c>
      <c r="N11" s="206" t="s">
        <v>477</v>
      </c>
      <c r="P11" s="195">
        <f>INDEX('Apportionment Bases'!M$6:M$33,MATCH('PC2'!$N11,'Apportionment Bases'!$A$6:$A$33,0))</f>
        <v>0.42199999999999999</v>
      </c>
      <c r="Q11" s="195">
        <f>INDEX('Apportionment Bases'!N$6:N$33,MATCH('PC2'!$N11,'Apportionment Bases'!$A$6:$A$33,0))</f>
        <v>0.48399999999999999</v>
      </c>
      <c r="R11" s="199"/>
      <c r="S11" s="195">
        <f>INDEX('Apportionment Bases'!$P$6:$P$33,MATCH('PC2'!N11,'Apportionment Bases'!$A$6:$A$33,0))</f>
        <v>4.7E-2</v>
      </c>
      <c r="T11" s="195">
        <f>INDEX('Apportionment Bases'!Q$6:Q$33,MATCH('PC2'!$N11,'Apportionment Bases'!$A$6:$A$33,0))</f>
        <v>4.7E-2</v>
      </c>
      <c r="U11" s="37"/>
      <c r="V11" s="97">
        <f t="shared" si="11"/>
        <v>0</v>
      </c>
      <c r="W11" s="97">
        <f t="shared" si="12"/>
        <v>0</v>
      </c>
      <c r="X11" s="96"/>
      <c r="Y11" s="97">
        <f t="shared" si="13"/>
        <v>0</v>
      </c>
      <c r="Z11" s="97">
        <f t="shared" si="14"/>
        <v>0</v>
      </c>
      <c r="AA11" s="48" t="str">
        <f t="shared" si="2"/>
        <v>TRUE</v>
      </c>
      <c r="AB11" s="103"/>
      <c r="AC11" s="104"/>
      <c r="AD11" s="104"/>
      <c r="AE11"/>
      <c r="AF11" s="104"/>
      <c r="AG11" s="104"/>
      <c r="AH11" s="311"/>
      <c r="AI11" s="99">
        <f t="shared" si="21"/>
        <v>0</v>
      </c>
      <c r="AJ11" s="97">
        <f t="shared" si="22"/>
        <v>0</v>
      </c>
      <c r="AK11" s="100"/>
      <c r="AL11" s="97">
        <f t="shared" si="3"/>
        <v>0</v>
      </c>
      <c r="AM11" s="97">
        <f t="shared" si="4"/>
        <v>0</v>
      </c>
      <c r="AN11" s="318"/>
      <c r="AO11" s="97">
        <f t="shared" si="15"/>
        <v>0</v>
      </c>
      <c r="AP11" s="97">
        <f t="shared" si="16"/>
        <v>0</v>
      </c>
      <c r="AQ11" s="100"/>
      <c r="AR11" s="97">
        <f t="shared" si="5"/>
        <v>0</v>
      </c>
      <c r="AS11" s="97">
        <f t="shared" si="6"/>
        <v>0</v>
      </c>
      <c r="AT11" s="318"/>
      <c r="AU11" s="97">
        <f t="shared" si="17"/>
        <v>0</v>
      </c>
      <c r="AV11" s="97">
        <f t="shared" si="18"/>
        <v>0</v>
      </c>
      <c r="AW11" s="100"/>
      <c r="AX11" s="97">
        <f t="shared" si="7"/>
        <v>0</v>
      </c>
      <c r="AY11" s="97">
        <f t="shared" si="8"/>
        <v>0</v>
      </c>
      <c r="AZ11" s="318"/>
      <c r="BA11" s="97">
        <f t="shared" si="19"/>
        <v>0</v>
      </c>
      <c r="BB11" s="97">
        <f t="shared" si="20"/>
        <v>0</v>
      </c>
      <c r="BC11" s="100"/>
      <c r="BD11" s="97">
        <f t="shared" si="9"/>
        <v>0</v>
      </c>
      <c r="BE11" s="97">
        <f t="shared" si="10"/>
        <v>0</v>
      </c>
      <c r="BF11" s="318"/>
      <c r="BG11" s="101"/>
      <c r="BH11" s="101"/>
      <c r="BI11" s="101"/>
      <c r="BJ11" s="101"/>
      <c r="BK11" s="101"/>
      <c r="BM11" s="101"/>
      <c r="BN11" s="101"/>
      <c r="BO11" s="101"/>
      <c r="BP11" s="101"/>
      <c r="BQ11" s="101"/>
      <c r="BS11" s="101"/>
      <c r="BT11" s="101"/>
      <c r="BU11" s="101"/>
      <c r="BV11" s="101"/>
      <c r="BW11" s="101"/>
      <c r="BY11" s="101"/>
      <c r="BZ11" s="101"/>
      <c r="CA11" s="101"/>
      <c r="CB11" s="101"/>
      <c r="CC11" s="101"/>
      <c r="CE11" s="101"/>
      <c r="CF11" s="101"/>
      <c r="CG11" s="101"/>
      <c r="CH11" s="101"/>
      <c r="CI11" s="101"/>
      <c r="CK11" s="101"/>
      <c r="CL11" s="101"/>
      <c r="CM11" s="101"/>
      <c r="CN11" s="101"/>
      <c r="CO11" s="101"/>
    </row>
    <row r="12" spans="1:93" s="62" customFormat="1" x14ac:dyDescent="0.25">
      <c r="A12" s="35" t="s">
        <v>45</v>
      </c>
      <c r="B12" s="35" t="s">
        <v>54</v>
      </c>
      <c r="C12" s="35" t="s">
        <v>47</v>
      </c>
      <c r="D12" s="105" t="s">
        <v>47</v>
      </c>
      <c r="E12" s="35" t="s">
        <v>48</v>
      </c>
      <c r="F12" s="17" t="str">
        <f t="shared" si="0"/>
        <v>02-5306-01-01-00</v>
      </c>
      <c r="G12" s="36" t="s">
        <v>55</v>
      </c>
      <c r="H12" s="31">
        <f t="shared" si="1"/>
        <v>3000</v>
      </c>
      <c r="I12" s="31">
        <f t="shared" si="1"/>
        <v>3000</v>
      </c>
      <c r="J12" s="31">
        <f t="shared" si="1"/>
        <v>3000</v>
      </c>
      <c r="K12" s="31">
        <f t="shared" si="1"/>
        <v>3000</v>
      </c>
      <c r="L12" s="20">
        <v>12000</v>
      </c>
      <c r="N12" s="206" t="s">
        <v>477</v>
      </c>
      <c r="P12" s="195">
        <f>INDEX('Apportionment Bases'!M$6:M$33,MATCH('PC2'!$N12,'Apportionment Bases'!$A$6:$A$33,0))</f>
        <v>0.42199999999999999</v>
      </c>
      <c r="Q12" s="195">
        <f>INDEX('Apportionment Bases'!N$6:N$33,MATCH('PC2'!$N12,'Apportionment Bases'!$A$6:$A$33,0))</f>
        <v>0.48399999999999999</v>
      </c>
      <c r="R12" s="199"/>
      <c r="S12" s="195">
        <f>INDEX('Apportionment Bases'!$P$6:$P$33,MATCH('PC2'!N12,'Apportionment Bases'!$A$6:$A$33,0))</f>
        <v>4.7E-2</v>
      </c>
      <c r="T12" s="195">
        <f>INDEX('Apportionment Bases'!Q$6:Q$33,MATCH('PC2'!$N12,'Apportionment Bases'!$A$6:$A$33,0))</f>
        <v>4.7E-2</v>
      </c>
      <c r="U12" s="37"/>
      <c r="V12" s="97">
        <f t="shared" si="11"/>
        <v>5064</v>
      </c>
      <c r="W12" s="97">
        <f t="shared" si="12"/>
        <v>5808</v>
      </c>
      <c r="X12" s="96"/>
      <c r="Y12" s="97">
        <f t="shared" si="13"/>
        <v>564</v>
      </c>
      <c r="Z12" s="97">
        <f t="shared" si="14"/>
        <v>564</v>
      </c>
      <c r="AA12" s="48" t="str">
        <f t="shared" si="2"/>
        <v>TRUE</v>
      </c>
      <c r="AB12" s="106"/>
      <c r="AD12" s="104"/>
      <c r="AE12"/>
      <c r="AF12" s="104"/>
      <c r="AG12" s="104"/>
      <c r="AH12" s="311"/>
      <c r="AI12" s="99">
        <f t="shared" si="21"/>
        <v>1206.2447999999999</v>
      </c>
      <c r="AJ12" s="97">
        <f t="shared" si="22"/>
        <v>1597.2</v>
      </c>
      <c r="AK12" s="100"/>
      <c r="AL12" s="97">
        <f t="shared" si="3"/>
        <v>169.2</v>
      </c>
      <c r="AM12" s="97">
        <f t="shared" si="4"/>
        <v>173.54279999999997</v>
      </c>
      <c r="AN12" s="318"/>
      <c r="AO12" s="97">
        <f t="shared" si="15"/>
        <v>771.75360000000001</v>
      </c>
      <c r="AP12" s="97">
        <f t="shared" si="16"/>
        <v>1131.9792</v>
      </c>
      <c r="AQ12" s="100"/>
      <c r="AR12" s="97">
        <f t="shared" si="5"/>
        <v>121.93680000000001</v>
      </c>
      <c r="AS12" s="97">
        <f t="shared" si="6"/>
        <v>130.1712</v>
      </c>
      <c r="AT12" s="318"/>
      <c r="AU12" s="97">
        <f t="shared" si="17"/>
        <v>1100.4071999999999</v>
      </c>
      <c r="AV12" s="97">
        <f t="shared" si="18"/>
        <v>1388.6928</v>
      </c>
      <c r="AW12" s="100"/>
      <c r="AX12" s="97">
        <f t="shared" si="7"/>
        <v>112.80000000000001</v>
      </c>
      <c r="AY12" s="97">
        <f t="shared" si="8"/>
        <v>162.6576</v>
      </c>
      <c r="AZ12" s="318"/>
      <c r="BA12" s="97">
        <f t="shared" si="19"/>
        <v>1985.5944</v>
      </c>
      <c r="BB12" s="97">
        <f t="shared" si="20"/>
        <v>1690.1279999999999</v>
      </c>
      <c r="BC12" s="100"/>
      <c r="BD12" s="97">
        <f t="shared" si="9"/>
        <v>160.06319999999999</v>
      </c>
      <c r="BE12" s="97">
        <f t="shared" si="10"/>
        <v>97.628399999999999</v>
      </c>
      <c r="BF12" s="318"/>
      <c r="BG12" s="101"/>
      <c r="BH12" s="101"/>
      <c r="BI12" s="101"/>
      <c r="BJ12" s="101"/>
      <c r="BK12" s="101"/>
      <c r="BM12" s="101"/>
      <c r="BN12" s="101"/>
      <c r="BO12" s="101"/>
      <c r="BP12" s="101"/>
      <c r="BQ12" s="101"/>
      <c r="BS12" s="101"/>
      <c r="BT12" s="101"/>
      <c r="BU12" s="101"/>
      <c r="BV12" s="101"/>
      <c r="BW12" s="101"/>
      <c r="BY12" s="101"/>
      <c r="BZ12" s="101"/>
      <c r="CA12" s="101"/>
      <c r="CB12" s="101"/>
      <c r="CC12" s="101"/>
      <c r="CE12" s="101"/>
      <c r="CF12" s="101"/>
      <c r="CG12" s="101"/>
      <c r="CH12" s="101"/>
      <c r="CI12" s="101"/>
      <c r="CK12" s="101"/>
      <c r="CL12" s="101"/>
      <c r="CM12" s="101"/>
      <c r="CN12" s="101"/>
      <c r="CO12" s="101"/>
    </row>
    <row r="13" spans="1:93" s="62" customFormat="1" x14ac:dyDescent="0.25">
      <c r="A13" s="35" t="s">
        <v>45</v>
      </c>
      <c r="B13" s="35" t="s">
        <v>54</v>
      </c>
      <c r="C13" s="35" t="s">
        <v>45</v>
      </c>
      <c r="D13" s="105" t="s">
        <v>48</v>
      </c>
      <c r="E13" s="35" t="s">
        <v>48</v>
      </c>
      <c r="F13" s="17" t="str">
        <f t="shared" si="0"/>
        <v>02-5306-02-00-00</v>
      </c>
      <c r="G13" s="36" t="s">
        <v>55</v>
      </c>
      <c r="H13" s="31">
        <f t="shared" si="1"/>
        <v>450</v>
      </c>
      <c r="I13" s="31">
        <f t="shared" si="1"/>
        <v>450</v>
      </c>
      <c r="J13" s="31">
        <f t="shared" si="1"/>
        <v>450</v>
      </c>
      <c r="K13" s="31">
        <f t="shared" si="1"/>
        <v>450</v>
      </c>
      <c r="L13" s="20">
        <v>1800</v>
      </c>
      <c r="N13" s="206" t="s">
        <v>478</v>
      </c>
      <c r="P13" s="195">
        <f>INDEX('Apportionment Bases'!M$6:M$33,MATCH('PC2'!$N13,'Apportionment Bases'!$A$6:$A$33,0))</f>
        <v>0.14799999999999999</v>
      </c>
      <c r="Q13" s="195">
        <f>INDEX('Apportionment Bases'!N$6:N$33,MATCH('PC2'!$N13,'Apportionment Bases'!$A$6:$A$33,0))</f>
        <v>0.55000000000000004</v>
      </c>
      <c r="R13" s="199"/>
      <c r="S13" s="195">
        <f>INDEX('Apportionment Bases'!$P$6:$P$33,MATCH('PC2'!N13,'Apportionment Bases'!$A$6:$A$33,0))</f>
        <v>0.151</v>
      </c>
      <c r="T13" s="195">
        <f>INDEX('Apportionment Bases'!Q$6:Q$33,MATCH('PC2'!$N13,'Apportionment Bases'!$A$6:$A$33,0))</f>
        <v>0.151</v>
      </c>
      <c r="U13" s="37"/>
      <c r="V13" s="97">
        <f t="shared" si="11"/>
        <v>266.39999999999998</v>
      </c>
      <c r="W13" s="97">
        <f t="shared" si="12"/>
        <v>990.00000000000011</v>
      </c>
      <c r="X13" s="96"/>
      <c r="Y13" s="97">
        <f t="shared" si="13"/>
        <v>271.8</v>
      </c>
      <c r="Z13" s="97">
        <f t="shared" si="14"/>
        <v>271.8</v>
      </c>
      <c r="AA13" s="48" t="str">
        <f t="shared" si="2"/>
        <v>TRUE</v>
      </c>
      <c r="AB13" s="106"/>
      <c r="AD13" s="104"/>
      <c r="AE13"/>
      <c r="AF13" s="104"/>
      <c r="AG13" s="104"/>
      <c r="AH13" s="311"/>
      <c r="AI13" s="99">
        <f t="shared" si="21"/>
        <v>63.456479999999992</v>
      </c>
      <c r="AJ13" s="97">
        <f t="shared" si="22"/>
        <v>272.25000000000006</v>
      </c>
      <c r="AK13" s="100"/>
      <c r="AL13" s="97">
        <f t="shared" si="3"/>
        <v>81.540000000000006</v>
      </c>
      <c r="AM13" s="97">
        <f t="shared" si="4"/>
        <v>83.632859999999994</v>
      </c>
      <c r="AN13" s="318"/>
      <c r="AO13" s="97">
        <f t="shared" si="15"/>
        <v>40.599359999999997</v>
      </c>
      <c r="AP13" s="97">
        <f t="shared" si="16"/>
        <v>192.95100000000002</v>
      </c>
      <c r="AQ13" s="100"/>
      <c r="AR13" s="97">
        <f t="shared" si="5"/>
        <v>58.763160000000006</v>
      </c>
      <c r="AS13" s="97">
        <f t="shared" si="6"/>
        <v>62.731440000000006</v>
      </c>
      <c r="AT13" s="318"/>
      <c r="AU13" s="97">
        <f t="shared" si="17"/>
        <v>57.888719999999992</v>
      </c>
      <c r="AV13" s="97">
        <f t="shared" si="18"/>
        <v>236.70900000000003</v>
      </c>
      <c r="AW13" s="100"/>
      <c r="AX13" s="97">
        <f t="shared" si="7"/>
        <v>54.360000000000007</v>
      </c>
      <c r="AY13" s="97">
        <f t="shared" si="8"/>
        <v>78.387119999999996</v>
      </c>
      <c r="AZ13" s="318"/>
      <c r="BA13" s="97">
        <f t="shared" si="19"/>
        <v>104.45544</v>
      </c>
      <c r="BB13" s="97">
        <f t="shared" si="20"/>
        <v>288.09000000000003</v>
      </c>
      <c r="BC13" s="100"/>
      <c r="BD13" s="97">
        <f t="shared" si="9"/>
        <v>77.136840000000007</v>
      </c>
      <c r="BE13" s="97">
        <f t="shared" si="10"/>
        <v>47.048580000000001</v>
      </c>
      <c r="BF13" s="318"/>
      <c r="BG13" s="101"/>
      <c r="BH13" s="101"/>
      <c r="BI13" s="101"/>
      <c r="BJ13" s="101"/>
      <c r="BK13" s="101"/>
      <c r="BM13" s="101"/>
      <c r="BN13" s="101"/>
      <c r="BO13" s="101"/>
      <c r="BP13" s="101"/>
      <c r="BQ13" s="101"/>
      <c r="BS13" s="101"/>
      <c r="BT13" s="101"/>
      <c r="BU13" s="101"/>
      <c r="BV13" s="101"/>
      <c r="BW13" s="101"/>
      <c r="BY13" s="101"/>
      <c r="BZ13" s="101"/>
      <c r="CA13" s="101"/>
      <c r="CB13" s="101"/>
      <c r="CC13" s="101"/>
      <c r="CE13" s="101"/>
      <c r="CF13" s="101"/>
      <c r="CG13" s="101"/>
      <c r="CH13" s="101"/>
      <c r="CI13" s="101"/>
      <c r="CK13" s="101"/>
      <c r="CL13" s="101"/>
      <c r="CM13" s="101"/>
      <c r="CN13" s="101"/>
      <c r="CO13" s="101"/>
    </row>
    <row r="14" spans="1:93" s="62" customFormat="1" x14ac:dyDescent="0.25">
      <c r="A14" s="35" t="s">
        <v>45</v>
      </c>
      <c r="B14" s="35" t="s">
        <v>56</v>
      </c>
      <c r="C14" s="35" t="s">
        <v>47</v>
      </c>
      <c r="D14" s="105" t="s">
        <v>48</v>
      </c>
      <c r="E14" s="35" t="s">
        <v>48</v>
      </c>
      <c r="F14" s="17" t="str">
        <f t="shared" si="0"/>
        <v>02-5307-01-00-00</v>
      </c>
      <c r="G14" s="36" t="s">
        <v>57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20">
        <v>0</v>
      </c>
      <c r="N14" s="206" t="s">
        <v>477</v>
      </c>
      <c r="P14" s="195">
        <f>INDEX('Apportionment Bases'!M$6:M$33,MATCH('PC2'!$N14,'Apportionment Bases'!$A$6:$A$33,0))</f>
        <v>0.42199999999999999</v>
      </c>
      <c r="Q14" s="195">
        <f>INDEX('Apportionment Bases'!N$6:N$33,MATCH('PC2'!$N14,'Apportionment Bases'!$A$6:$A$33,0))</f>
        <v>0.48399999999999999</v>
      </c>
      <c r="R14" s="199"/>
      <c r="S14" s="195">
        <f>INDEX('Apportionment Bases'!$P$6:$P$33,MATCH('PC2'!N14,'Apportionment Bases'!$A$6:$A$33,0))</f>
        <v>4.7E-2</v>
      </c>
      <c r="T14" s="195">
        <f>INDEX('Apportionment Bases'!Q$6:Q$33,MATCH('PC2'!$N14,'Apportionment Bases'!$A$6:$A$33,0))</f>
        <v>4.7E-2</v>
      </c>
      <c r="U14" s="37"/>
      <c r="V14" s="97">
        <f t="shared" si="11"/>
        <v>0</v>
      </c>
      <c r="W14" s="97">
        <f t="shared" si="12"/>
        <v>0</v>
      </c>
      <c r="X14" s="96"/>
      <c r="Y14" s="97">
        <f t="shared" si="13"/>
        <v>0</v>
      </c>
      <c r="Z14" s="97">
        <f t="shared" si="14"/>
        <v>0</v>
      </c>
      <c r="AA14" s="48" t="str">
        <f t="shared" si="2"/>
        <v>TRUE</v>
      </c>
      <c r="AB14" s="106"/>
      <c r="AD14" s="104"/>
      <c r="AE14"/>
      <c r="AF14" s="104"/>
      <c r="AG14" s="104"/>
      <c r="AH14" s="311"/>
      <c r="AI14" s="99">
        <f t="shared" si="21"/>
        <v>0</v>
      </c>
      <c r="AJ14" s="97">
        <f t="shared" si="22"/>
        <v>0</v>
      </c>
      <c r="AK14" s="100"/>
      <c r="AL14" s="97">
        <f t="shared" si="3"/>
        <v>0</v>
      </c>
      <c r="AM14" s="97">
        <f t="shared" si="4"/>
        <v>0</v>
      </c>
      <c r="AN14" s="318"/>
      <c r="AO14" s="97">
        <f t="shared" si="15"/>
        <v>0</v>
      </c>
      <c r="AP14" s="97">
        <f t="shared" si="16"/>
        <v>0</v>
      </c>
      <c r="AQ14" s="100"/>
      <c r="AR14" s="97">
        <f t="shared" si="5"/>
        <v>0</v>
      </c>
      <c r="AS14" s="97">
        <f t="shared" si="6"/>
        <v>0</v>
      </c>
      <c r="AT14" s="318"/>
      <c r="AU14" s="97">
        <f t="shared" si="17"/>
        <v>0</v>
      </c>
      <c r="AV14" s="97">
        <f t="shared" si="18"/>
        <v>0</v>
      </c>
      <c r="AW14" s="100"/>
      <c r="AX14" s="97">
        <f t="shared" si="7"/>
        <v>0</v>
      </c>
      <c r="AY14" s="97">
        <f t="shared" si="8"/>
        <v>0</v>
      </c>
      <c r="AZ14" s="318"/>
      <c r="BA14" s="97">
        <f t="shared" si="19"/>
        <v>0</v>
      </c>
      <c r="BB14" s="97">
        <f t="shared" si="20"/>
        <v>0</v>
      </c>
      <c r="BC14" s="100"/>
      <c r="BD14" s="97">
        <f t="shared" si="9"/>
        <v>0</v>
      </c>
      <c r="BE14" s="97">
        <f t="shared" si="10"/>
        <v>0</v>
      </c>
      <c r="BF14" s="318"/>
      <c r="BG14" s="101"/>
      <c r="BH14" s="101"/>
      <c r="BI14" s="101"/>
      <c r="BJ14" s="101"/>
      <c r="BK14" s="101"/>
      <c r="BM14" s="101"/>
      <c r="BN14" s="101"/>
      <c r="BO14" s="101"/>
      <c r="BP14" s="101"/>
      <c r="BQ14" s="101"/>
      <c r="BS14" s="101"/>
      <c r="BT14" s="101"/>
      <c r="BU14" s="101"/>
      <c r="BV14" s="101"/>
      <c r="BW14" s="101"/>
      <c r="BY14" s="101"/>
      <c r="BZ14" s="101"/>
      <c r="CA14" s="101"/>
      <c r="CB14" s="101"/>
      <c r="CC14" s="101"/>
      <c r="CE14" s="101"/>
      <c r="CF14" s="101"/>
      <c r="CG14" s="101"/>
      <c r="CH14" s="101"/>
      <c r="CI14" s="101"/>
      <c r="CK14" s="101"/>
      <c r="CL14" s="101"/>
      <c r="CM14" s="101"/>
      <c r="CN14" s="101"/>
      <c r="CO14" s="101"/>
    </row>
    <row r="15" spans="1:93" s="62" customFormat="1" x14ac:dyDescent="0.25">
      <c r="A15" s="35" t="s">
        <v>45</v>
      </c>
      <c r="B15" s="35" t="s">
        <v>56</v>
      </c>
      <c r="C15" s="35" t="s">
        <v>45</v>
      </c>
      <c r="D15" s="105" t="s">
        <v>48</v>
      </c>
      <c r="E15" s="35" t="s">
        <v>48</v>
      </c>
      <c r="F15" s="17" t="str">
        <f t="shared" si="0"/>
        <v>02-5307-02-00-00</v>
      </c>
      <c r="G15" s="36" t="s">
        <v>57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20">
        <v>0</v>
      </c>
      <c r="N15" s="206" t="s">
        <v>478</v>
      </c>
      <c r="P15" s="195">
        <f>INDEX('Apportionment Bases'!M$6:M$33,MATCH('PC2'!$N15,'Apportionment Bases'!$A$6:$A$33,0))</f>
        <v>0.14799999999999999</v>
      </c>
      <c r="Q15" s="195">
        <f>INDEX('Apportionment Bases'!N$6:N$33,MATCH('PC2'!$N15,'Apportionment Bases'!$A$6:$A$33,0))</f>
        <v>0.55000000000000004</v>
      </c>
      <c r="R15" s="199"/>
      <c r="S15" s="195">
        <f>INDEX('Apportionment Bases'!$P$6:$P$33,MATCH('PC2'!N15,'Apportionment Bases'!$A$6:$A$33,0))</f>
        <v>0.151</v>
      </c>
      <c r="T15" s="195">
        <f>INDEX('Apportionment Bases'!Q$6:Q$33,MATCH('PC2'!$N15,'Apportionment Bases'!$A$6:$A$33,0))</f>
        <v>0.151</v>
      </c>
      <c r="U15" s="37"/>
      <c r="V15" s="97">
        <f t="shared" si="11"/>
        <v>0</v>
      </c>
      <c r="W15" s="97">
        <f t="shared" si="12"/>
        <v>0</v>
      </c>
      <c r="X15" s="96"/>
      <c r="Y15" s="97">
        <f t="shared" si="13"/>
        <v>0</v>
      </c>
      <c r="Z15" s="97">
        <f t="shared" si="14"/>
        <v>0</v>
      </c>
      <c r="AA15" s="48" t="str">
        <f t="shared" si="2"/>
        <v>TRUE</v>
      </c>
      <c r="AB15" s="106"/>
      <c r="AD15" s="104"/>
      <c r="AE15"/>
      <c r="AF15" s="104"/>
      <c r="AG15" s="104"/>
      <c r="AH15" s="311"/>
      <c r="AI15" s="99">
        <f t="shared" si="21"/>
        <v>0</v>
      </c>
      <c r="AJ15" s="97">
        <f t="shared" si="22"/>
        <v>0</v>
      </c>
      <c r="AK15" s="100"/>
      <c r="AL15" s="97">
        <f t="shared" si="3"/>
        <v>0</v>
      </c>
      <c r="AM15" s="97">
        <f t="shared" si="4"/>
        <v>0</v>
      </c>
      <c r="AN15" s="318"/>
      <c r="AO15" s="97">
        <f t="shared" si="15"/>
        <v>0</v>
      </c>
      <c r="AP15" s="97">
        <f t="shared" si="16"/>
        <v>0</v>
      </c>
      <c r="AQ15" s="100"/>
      <c r="AR15" s="97">
        <f t="shared" si="5"/>
        <v>0</v>
      </c>
      <c r="AS15" s="97">
        <f t="shared" si="6"/>
        <v>0</v>
      </c>
      <c r="AT15" s="318"/>
      <c r="AU15" s="97">
        <f t="shared" si="17"/>
        <v>0</v>
      </c>
      <c r="AV15" s="97">
        <f t="shared" si="18"/>
        <v>0</v>
      </c>
      <c r="AW15" s="100"/>
      <c r="AX15" s="97">
        <f t="shared" si="7"/>
        <v>0</v>
      </c>
      <c r="AY15" s="97">
        <f t="shared" si="8"/>
        <v>0</v>
      </c>
      <c r="AZ15" s="318"/>
      <c r="BA15" s="97">
        <f t="shared" si="19"/>
        <v>0</v>
      </c>
      <c r="BB15" s="97">
        <f t="shared" si="20"/>
        <v>0</v>
      </c>
      <c r="BC15" s="100"/>
      <c r="BD15" s="97">
        <f t="shared" si="9"/>
        <v>0</v>
      </c>
      <c r="BE15" s="97">
        <f t="shared" si="10"/>
        <v>0</v>
      </c>
      <c r="BF15" s="318"/>
      <c r="BG15" s="101"/>
      <c r="BH15" s="101"/>
      <c r="BI15" s="101"/>
      <c r="BJ15" s="101"/>
      <c r="BK15" s="101"/>
      <c r="BM15" s="101"/>
      <c r="BN15" s="101"/>
      <c r="BO15" s="101"/>
      <c r="BP15" s="101"/>
      <c r="BQ15" s="101"/>
      <c r="BS15" s="101"/>
      <c r="BT15" s="101"/>
      <c r="BU15" s="101"/>
      <c r="BV15" s="101"/>
      <c r="BW15" s="101"/>
      <c r="BY15" s="101"/>
      <c r="BZ15" s="101"/>
      <c r="CA15" s="101"/>
      <c r="CB15" s="101"/>
      <c r="CC15" s="101"/>
      <c r="CE15" s="101"/>
      <c r="CF15" s="101"/>
      <c r="CG15" s="101"/>
      <c r="CH15" s="101"/>
      <c r="CI15" s="101"/>
      <c r="CK15" s="101"/>
      <c r="CL15" s="101"/>
      <c r="CM15" s="101"/>
      <c r="CN15" s="101"/>
      <c r="CO15" s="101"/>
    </row>
    <row r="16" spans="1:93" s="62" customFormat="1" x14ac:dyDescent="0.25">
      <c r="A16" s="35" t="s">
        <v>45</v>
      </c>
      <c r="B16" s="35" t="s">
        <v>58</v>
      </c>
      <c r="C16" s="35" t="s">
        <v>45</v>
      </c>
      <c r="D16" s="105" t="s">
        <v>48</v>
      </c>
      <c r="E16" s="35" t="s">
        <v>48</v>
      </c>
      <c r="F16" s="17" t="str">
        <f t="shared" si="0"/>
        <v>02-5315-02-00-00</v>
      </c>
      <c r="G16" s="36" t="s">
        <v>59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20">
        <v>0</v>
      </c>
      <c r="N16" s="206" t="s">
        <v>532</v>
      </c>
      <c r="P16" s="195">
        <f>INDEX('Apportionment Bases'!M$6:M$33,MATCH('PC2'!$N16,'Apportionment Bases'!$A$6:$A$33,0))</f>
        <v>0.14799999999999999</v>
      </c>
      <c r="Q16" s="195">
        <f>INDEX('Apportionment Bases'!N$6:N$33,MATCH('PC2'!$N16,'Apportionment Bases'!$A$6:$A$33,0))</f>
        <v>0.55000000000000004</v>
      </c>
      <c r="R16" s="199"/>
      <c r="S16" s="195">
        <f>INDEX('Apportionment Bases'!$P$6:$P$33,MATCH('PC2'!N16,'Apportionment Bases'!$A$6:$A$33,0))</f>
        <v>0.151</v>
      </c>
      <c r="T16" s="195">
        <f>INDEX('Apportionment Bases'!Q$6:Q$33,MATCH('PC2'!$N16,'Apportionment Bases'!$A$6:$A$33,0))</f>
        <v>0.151</v>
      </c>
      <c r="U16" s="37"/>
      <c r="V16" s="97">
        <f t="shared" si="11"/>
        <v>0</v>
      </c>
      <c r="W16" s="97">
        <f t="shared" si="12"/>
        <v>0</v>
      </c>
      <c r="X16" s="96"/>
      <c r="Y16" s="97">
        <f t="shared" si="13"/>
        <v>0</v>
      </c>
      <c r="Z16" s="97">
        <f t="shared" si="14"/>
        <v>0</v>
      </c>
      <c r="AA16" s="48" t="str">
        <f t="shared" si="2"/>
        <v>TRUE</v>
      </c>
      <c r="AB16" s="106"/>
      <c r="AC16" s="104"/>
      <c r="AD16" s="104"/>
      <c r="AE16"/>
      <c r="AF16" s="104"/>
      <c r="AG16" s="104"/>
      <c r="AH16" s="311"/>
      <c r="AI16" s="99">
        <f t="shared" si="21"/>
        <v>0</v>
      </c>
      <c r="AJ16" s="97">
        <f t="shared" si="22"/>
        <v>0</v>
      </c>
      <c r="AK16" s="100"/>
      <c r="AL16" s="97">
        <f t="shared" si="3"/>
        <v>0</v>
      </c>
      <c r="AM16" s="97">
        <f t="shared" si="4"/>
        <v>0</v>
      </c>
      <c r="AN16" s="318"/>
      <c r="AO16" s="97">
        <f t="shared" si="15"/>
        <v>0</v>
      </c>
      <c r="AP16" s="97">
        <f t="shared" si="16"/>
        <v>0</v>
      </c>
      <c r="AQ16" s="100"/>
      <c r="AR16" s="97">
        <f t="shared" si="5"/>
        <v>0</v>
      </c>
      <c r="AS16" s="97">
        <f t="shared" si="6"/>
        <v>0</v>
      </c>
      <c r="AT16" s="318"/>
      <c r="AU16" s="97">
        <f t="shared" si="17"/>
        <v>0</v>
      </c>
      <c r="AV16" s="97">
        <f t="shared" si="18"/>
        <v>0</v>
      </c>
      <c r="AW16" s="100"/>
      <c r="AX16" s="97">
        <f t="shared" si="7"/>
        <v>0</v>
      </c>
      <c r="AY16" s="97">
        <f t="shared" si="8"/>
        <v>0</v>
      </c>
      <c r="AZ16" s="318"/>
      <c r="BA16" s="97">
        <f t="shared" si="19"/>
        <v>0</v>
      </c>
      <c r="BB16" s="97">
        <f t="shared" si="20"/>
        <v>0</v>
      </c>
      <c r="BC16" s="100"/>
      <c r="BD16" s="97">
        <f t="shared" si="9"/>
        <v>0</v>
      </c>
      <c r="BE16" s="97">
        <f t="shared" si="10"/>
        <v>0</v>
      </c>
      <c r="BF16" s="318"/>
      <c r="BG16" s="101"/>
      <c r="BH16" s="101"/>
      <c r="BI16" s="101"/>
      <c r="BJ16" s="101"/>
      <c r="BK16" s="101"/>
      <c r="BM16" s="101"/>
      <c r="BN16" s="101"/>
      <c r="BO16" s="101"/>
      <c r="BP16" s="101"/>
      <c r="BQ16" s="101"/>
      <c r="BS16" s="101"/>
      <c r="BT16" s="101"/>
      <c r="BU16" s="101"/>
      <c r="BV16" s="101"/>
      <c r="BW16" s="101"/>
      <c r="BY16" s="101"/>
      <c r="BZ16" s="101"/>
      <c r="CA16" s="101"/>
      <c r="CB16" s="101"/>
      <c r="CC16" s="101"/>
      <c r="CE16" s="101"/>
      <c r="CF16" s="101"/>
      <c r="CG16" s="101"/>
      <c r="CH16" s="101"/>
      <c r="CI16" s="101"/>
      <c r="CK16" s="101"/>
      <c r="CL16" s="101"/>
      <c r="CM16" s="101"/>
      <c r="CN16" s="101"/>
      <c r="CO16" s="101"/>
    </row>
    <row r="17" spans="1:93" s="62" customFormat="1" x14ac:dyDescent="0.25">
      <c r="A17" s="35" t="s">
        <v>45</v>
      </c>
      <c r="B17" s="35" t="s">
        <v>60</v>
      </c>
      <c r="C17" s="35" t="s">
        <v>47</v>
      </c>
      <c r="D17" s="35" t="s">
        <v>48</v>
      </c>
      <c r="E17" s="35" t="s">
        <v>48</v>
      </c>
      <c r="F17" s="17" t="str">
        <f t="shared" si="0"/>
        <v>02-5401-01-00-00</v>
      </c>
      <c r="G17" s="37" t="s">
        <v>61</v>
      </c>
      <c r="H17" s="31">
        <f t="shared" si="1"/>
        <v>227887.75</v>
      </c>
      <c r="I17" s="31">
        <f t="shared" si="1"/>
        <v>227887.75</v>
      </c>
      <c r="J17" s="31">
        <f t="shared" si="1"/>
        <v>227887.75</v>
      </c>
      <c r="K17" s="31">
        <f t="shared" si="1"/>
        <v>227887.75</v>
      </c>
      <c r="L17" s="20">
        <v>911551</v>
      </c>
      <c r="N17" s="206" t="s">
        <v>479</v>
      </c>
      <c r="P17" s="195">
        <f>INDEX('Apportionment Bases'!M$6:M$33,MATCH('PC2'!$N17,'Apportionment Bases'!$A$6:$A$33,0))</f>
        <v>0.42199999999999999</v>
      </c>
      <c r="Q17" s="195">
        <f>INDEX('Apportionment Bases'!N$6:N$33,MATCH('PC2'!$N17,'Apportionment Bases'!$A$6:$A$33,0))</f>
        <v>0.48399999999999999</v>
      </c>
      <c r="R17" s="199"/>
      <c r="S17" s="195">
        <f>INDEX('Apportionment Bases'!$P$6:$P$33,MATCH('PC2'!N17,'Apportionment Bases'!$A$6:$A$33,0))</f>
        <v>4.7E-2</v>
      </c>
      <c r="T17" s="195">
        <f>INDEX('Apportionment Bases'!Q$6:Q$33,MATCH('PC2'!$N17,'Apportionment Bases'!$A$6:$A$33,0))</f>
        <v>4.7E-2</v>
      </c>
      <c r="U17" s="37"/>
      <c r="V17" s="97">
        <f t="shared" si="11"/>
        <v>384674.522</v>
      </c>
      <c r="W17" s="97">
        <f t="shared" si="12"/>
        <v>441190.68400000001</v>
      </c>
      <c r="X17" s="96"/>
      <c r="Y17" s="97">
        <f t="shared" si="13"/>
        <v>42842.896999999997</v>
      </c>
      <c r="Z17" s="97">
        <f t="shared" si="14"/>
        <v>42842.896999999997</v>
      </c>
      <c r="AA17" s="48" t="str">
        <f t="shared" si="2"/>
        <v>TRUE</v>
      </c>
      <c r="AH17" s="312"/>
      <c r="AI17" s="99">
        <f>$AC$7*$V17</f>
        <v>91629.471140399997</v>
      </c>
      <c r="AJ17" s="97">
        <f t="shared" si="22"/>
        <v>121327.43810000001</v>
      </c>
      <c r="AK17" s="100"/>
      <c r="AL17" s="97">
        <f t="shared" si="3"/>
        <v>12852.869099999998</v>
      </c>
      <c r="AM17" s="97">
        <f t="shared" si="4"/>
        <v>13182.759406899999</v>
      </c>
      <c r="AN17" s="318"/>
      <c r="AO17" s="97">
        <f t="shared" si="15"/>
        <v>58624.397152800004</v>
      </c>
      <c r="AP17" s="97">
        <f t="shared" si="16"/>
        <v>85988.064311599999</v>
      </c>
      <c r="AQ17" s="100"/>
      <c r="AR17" s="97">
        <f t="shared" si="5"/>
        <v>9262.6343313999987</v>
      </c>
      <c r="AS17" s="97">
        <f t="shared" si="6"/>
        <v>9888.1406275999998</v>
      </c>
      <c r="AT17" s="318"/>
      <c r="AU17" s="97">
        <f t="shared" si="17"/>
        <v>83589.773630600001</v>
      </c>
      <c r="AV17" s="97">
        <f t="shared" si="18"/>
        <v>105488.69254440001</v>
      </c>
      <c r="AW17" s="100"/>
      <c r="AX17" s="97">
        <f t="shared" si="7"/>
        <v>8568.5794000000005</v>
      </c>
      <c r="AY17" s="97">
        <f t="shared" si="8"/>
        <v>12355.891494799998</v>
      </c>
      <c r="AZ17" s="318"/>
      <c r="BA17" s="97">
        <f t="shared" si="19"/>
        <v>150830.8800762</v>
      </c>
      <c r="BB17" s="97">
        <f t="shared" si="20"/>
        <v>128386.48904399999</v>
      </c>
      <c r="BC17" s="100"/>
      <c r="BD17" s="97">
        <f t="shared" si="9"/>
        <v>12158.8141686</v>
      </c>
      <c r="BE17" s="97">
        <f t="shared" si="10"/>
        <v>7416.1054706999994</v>
      </c>
      <c r="BF17" s="318"/>
      <c r="BG17" s="101"/>
      <c r="BH17" s="101"/>
      <c r="BI17" s="101"/>
      <c r="BJ17" s="101"/>
      <c r="BK17" s="101"/>
      <c r="BM17" s="101"/>
      <c r="BN17" s="101"/>
      <c r="BO17" s="101"/>
      <c r="BP17" s="101"/>
      <c r="BQ17" s="101"/>
      <c r="BS17" s="101"/>
      <c r="BT17" s="101"/>
      <c r="BU17" s="101"/>
      <c r="BV17" s="101"/>
      <c r="BW17" s="101"/>
      <c r="BY17" s="101"/>
      <c r="BZ17" s="101"/>
      <c r="CA17" s="101"/>
      <c r="CB17" s="101"/>
      <c r="CC17" s="101"/>
      <c r="CE17" s="101"/>
      <c r="CF17" s="101"/>
      <c r="CG17" s="101"/>
      <c r="CH17" s="101"/>
      <c r="CI17" s="101"/>
      <c r="CK17" s="101"/>
      <c r="CL17" s="101"/>
      <c r="CM17" s="101"/>
      <c r="CN17" s="101"/>
      <c r="CO17" s="101"/>
    </row>
    <row r="18" spans="1:93" x14ac:dyDescent="0.25">
      <c r="A18" s="35" t="s">
        <v>45</v>
      </c>
      <c r="B18" s="35" t="s">
        <v>60</v>
      </c>
      <c r="C18" s="35" t="s">
        <v>45</v>
      </c>
      <c r="D18" s="35" t="s">
        <v>48</v>
      </c>
      <c r="E18" s="35" t="s">
        <v>48</v>
      </c>
      <c r="F18" s="17" t="str">
        <f t="shared" si="0"/>
        <v>02-5401-02-00-00</v>
      </c>
      <c r="G18" s="37" t="s">
        <v>61</v>
      </c>
      <c r="H18" s="19">
        <f t="shared" si="1"/>
        <v>30272.5</v>
      </c>
      <c r="I18" s="19">
        <f t="shared" si="1"/>
        <v>30272.5</v>
      </c>
      <c r="J18" s="19">
        <f t="shared" si="1"/>
        <v>30272.5</v>
      </c>
      <c r="K18" s="19">
        <f t="shared" si="1"/>
        <v>30272.5</v>
      </c>
      <c r="L18" s="20">
        <v>121090</v>
      </c>
      <c r="N18" s="206" t="s">
        <v>480</v>
      </c>
      <c r="P18" s="195">
        <f>INDEX('Apportionment Bases'!M$6:M$33,MATCH('PC2'!$N18,'Apportionment Bases'!$A$6:$A$33,0))</f>
        <v>0.14799999999999999</v>
      </c>
      <c r="Q18" s="195">
        <f>INDEX('Apportionment Bases'!N$6:N$33,MATCH('PC2'!$N18,'Apportionment Bases'!$A$6:$A$33,0))</f>
        <v>0.55000000000000004</v>
      </c>
      <c r="R18" s="199"/>
      <c r="S18" s="195">
        <f>INDEX('Apportionment Bases'!$P$6:$P$33,MATCH('PC2'!N18,'Apportionment Bases'!$A$6:$A$33,0))</f>
        <v>0.151</v>
      </c>
      <c r="T18" s="195">
        <f>INDEX('Apportionment Bases'!Q$6:Q$33,MATCH('PC2'!$N18,'Apportionment Bases'!$A$6:$A$33,0))</f>
        <v>0.151</v>
      </c>
      <c r="V18" s="97">
        <f t="shared" si="11"/>
        <v>17921.32</v>
      </c>
      <c r="W18" s="97">
        <f t="shared" si="12"/>
        <v>66599.5</v>
      </c>
      <c r="X18" s="96"/>
      <c r="Y18" s="97">
        <f t="shared" si="13"/>
        <v>18284.59</v>
      </c>
      <c r="Z18" s="97">
        <f t="shared" si="14"/>
        <v>18284.59</v>
      </c>
      <c r="AA18" s="48" t="str">
        <f t="shared" si="2"/>
        <v>TRUE</v>
      </c>
      <c r="AH18" s="300"/>
      <c r="AI18" s="73">
        <f t="shared" si="21"/>
        <v>4268.858424</v>
      </c>
      <c r="AJ18" s="72">
        <f t="shared" si="22"/>
        <v>18314.862500000003</v>
      </c>
      <c r="AK18" s="74"/>
      <c r="AL18" s="72">
        <f t="shared" si="3"/>
        <v>5485.3769999999995</v>
      </c>
      <c r="AM18" s="72">
        <f t="shared" si="4"/>
        <v>5626.1683429999994</v>
      </c>
      <c r="AN18" s="301"/>
      <c r="AO18" s="72">
        <f t="shared" si="15"/>
        <v>2731.2091680000003</v>
      </c>
      <c r="AP18" s="72">
        <f t="shared" si="16"/>
        <v>12980.242549999999</v>
      </c>
      <c r="AQ18" s="74"/>
      <c r="AR18" s="72">
        <f t="shared" si="5"/>
        <v>3953.1283579999999</v>
      </c>
      <c r="AS18" s="72">
        <f t="shared" si="6"/>
        <v>4220.0833720000001</v>
      </c>
      <c r="AT18" s="301"/>
      <c r="AU18" s="72">
        <f t="shared" si="17"/>
        <v>3894.3028359999998</v>
      </c>
      <c r="AV18" s="72">
        <f t="shared" si="18"/>
        <v>15923.94045</v>
      </c>
      <c r="AW18" s="74"/>
      <c r="AX18" s="72">
        <f t="shared" si="7"/>
        <v>3656.9180000000001</v>
      </c>
      <c r="AY18" s="72">
        <f t="shared" si="8"/>
        <v>5273.275756</v>
      </c>
      <c r="AZ18" s="301"/>
      <c r="BA18" s="72">
        <f t="shared" si="19"/>
        <v>7026.9495719999995</v>
      </c>
      <c r="BB18" s="72">
        <f t="shared" si="20"/>
        <v>19380.4545</v>
      </c>
      <c r="BC18" s="74"/>
      <c r="BD18" s="72">
        <f t="shared" si="9"/>
        <v>5189.1666420000001</v>
      </c>
      <c r="BE18" s="72">
        <f t="shared" si="10"/>
        <v>3165.0625290000003</v>
      </c>
      <c r="BF18" s="301"/>
      <c r="BG18" s="44"/>
      <c r="BH18" s="44"/>
      <c r="BI18" s="44"/>
      <c r="BJ18" s="44"/>
      <c r="BK18" s="44"/>
      <c r="BM18" s="44"/>
      <c r="BN18" s="44"/>
      <c r="BO18" s="44"/>
      <c r="BP18" s="44"/>
      <c r="BQ18" s="44"/>
      <c r="BS18" s="44"/>
      <c r="BT18" s="44"/>
      <c r="BU18" s="44"/>
      <c r="BV18" s="44"/>
      <c r="BW18" s="44"/>
      <c r="BY18" s="44"/>
      <c r="BZ18" s="44"/>
      <c r="CA18" s="44"/>
      <c r="CB18" s="44"/>
      <c r="CC18" s="44"/>
      <c r="CE18" s="44"/>
      <c r="CF18" s="44"/>
      <c r="CG18" s="44"/>
      <c r="CH18" s="44"/>
      <c r="CI18" s="44"/>
      <c r="CK18" s="44"/>
      <c r="CL18" s="44"/>
      <c r="CM18" s="44"/>
      <c r="CN18" s="44"/>
      <c r="CO18" s="44"/>
    </row>
    <row r="19" spans="1:93" s="62" customFormat="1" x14ac:dyDescent="0.25">
      <c r="A19" s="35" t="s">
        <v>45</v>
      </c>
      <c r="B19" s="35" t="s">
        <v>62</v>
      </c>
      <c r="C19" s="35" t="s">
        <v>47</v>
      </c>
      <c r="D19" s="35" t="s">
        <v>48</v>
      </c>
      <c r="E19" s="35" t="s">
        <v>48</v>
      </c>
      <c r="F19" s="17" t="str">
        <f t="shared" si="0"/>
        <v>02-5700-01-00-00</v>
      </c>
      <c r="G19" s="36" t="s">
        <v>63</v>
      </c>
      <c r="H19" s="31">
        <f t="shared" si="1"/>
        <v>5833.25</v>
      </c>
      <c r="I19" s="31">
        <f t="shared" si="1"/>
        <v>5833.25</v>
      </c>
      <c r="J19" s="31">
        <f t="shared" si="1"/>
        <v>5833.25</v>
      </c>
      <c r="K19" s="31">
        <f t="shared" si="1"/>
        <v>5833.25</v>
      </c>
      <c r="L19" s="20">
        <v>23333</v>
      </c>
      <c r="N19" s="206" t="s">
        <v>705</v>
      </c>
      <c r="P19" s="195">
        <f>INDEX('Apportionment Bases'!M$6:M$33,MATCH('PC2'!$N19,'Apportionment Bases'!$A$6:$A$33,0))</f>
        <v>0</v>
      </c>
      <c r="Q19" s="195">
        <f>INDEX('Apportionment Bases'!N$6:N$33,MATCH('PC2'!$N19,'Apportionment Bases'!$A$6:$A$33,0))</f>
        <v>0</v>
      </c>
      <c r="R19" s="199"/>
      <c r="S19" s="195">
        <f>INDEX('Apportionment Bases'!$P$6:$P$33,MATCH('PC2'!N19,'Apportionment Bases'!$A$6:$A$33,0))</f>
        <v>0.5</v>
      </c>
      <c r="T19" s="195">
        <f>INDEX('Apportionment Bases'!Q$6:Q$33,MATCH('PC2'!$N19,'Apportionment Bases'!$A$6:$A$33,0))</f>
        <v>0.5</v>
      </c>
      <c r="U19" s="37"/>
      <c r="V19" s="97">
        <f t="shared" si="11"/>
        <v>0</v>
      </c>
      <c r="W19" s="97">
        <f t="shared" si="12"/>
        <v>0</v>
      </c>
      <c r="X19" s="96"/>
      <c r="Y19" s="97">
        <f t="shared" si="13"/>
        <v>11666.5</v>
      </c>
      <c r="Z19" s="97">
        <f t="shared" si="14"/>
        <v>11666.5</v>
      </c>
      <c r="AA19" s="48" t="str">
        <f t="shared" si="2"/>
        <v>TRUE</v>
      </c>
      <c r="AG19" s="98"/>
      <c r="AH19" s="311"/>
      <c r="AI19" s="99">
        <f t="shared" si="21"/>
        <v>0</v>
      </c>
      <c r="AJ19" s="97">
        <f t="shared" si="22"/>
        <v>0</v>
      </c>
      <c r="AK19" s="100"/>
      <c r="AL19" s="97">
        <f t="shared" si="3"/>
        <v>3499.95</v>
      </c>
      <c r="AM19" s="97">
        <f t="shared" si="4"/>
        <v>3589.7820499999998</v>
      </c>
      <c r="AN19" s="318"/>
      <c r="AO19" s="97">
        <f t="shared" si="15"/>
        <v>0</v>
      </c>
      <c r="AP19" s="97">
        <f t="shared" si="16"/>
        <v>0</v>
      </c>
      <c r="AQ19" s="100"/>
      <c r="AR19" s="97">
        <f t="shared" si="5"/>
        <v>2522.2973000000002</v>
      </c>
      <c r="AS19" s="97">
        <f t="shared" si="6"/>
        <v>2692.6282000000001</v>
      </c>
      <c r="AT19" s="318"/>
      <c r="AU19" s="97">
        <f t="shared" si="17"/>
        <v>0</v>
      </c>
      <c r="AV19" s="97">
        <f t="shared" si="18"/>
        <v>0</v>
      </c>
      <c r="AW19" s="100"/>
      <c r="AX19" s="97">
        <f t="shared" si="7"/>
        <v>2333.3000000000002</v>
      </c>
      <c r="AY19" s="97">
        <f t="shared" si="8"/>
        <v>3364.6185999999998</v>
      </c>
      <c r="AZ19" s="318"/>
      <c r="BA19" s="97">
        <f t="shared" si="19"/>
        <v>0</v>
      </c>
      <c r="BB19" s="97">
        <f t="shared" si="20"/>
        <v>0</v>
      </c>
      <c r="BC19" s="100"/>
      <c r="BD19" s="97">
        <f t="shared" si="9"/>
        <v>3310.9526999999998</v>
      </c>
      <c r="BE19" s="97">
        <f t="shared" si="10"/>
        <v>2019.4711500000001</v>
      </c>
      <c r="BF19" s="318"/>
      <c r="BG19" s="101"/>
      <c r="BH19" s="101"/>
      <c r="BI19" s="101"/>
      <c r="BJ19" s="101"/>
      <c r="BK19" s="101"/>
      <c r="BM19" s="101"/>
      <c r="BN19" s="101"/>
      <c r="BO19" s="101"/>
      <c r="BP19" s="101"/>
      <c r="BQ19" s="101"/>
      <c r="BS19" s="101"/>
      <c r="BT19" s="101"/>
      <c r="BU19" s="101"/>
      <c r="BV19" s="101"/>
      <c r="BW19" s="101"/>
      <c r="BY19" s="101"/>
      <c r="BZ19" s="101"/>
      <c r="CA19" s="101"/>
      <c r="CB19" s="101"/>
      <c r="CC19" s="101"/>
      <c r="CE19" s="101"/>
      <c r="CF19" s="101"/>
      <c r="CG19" s="101"/>
      <c r="CH19" s="101"/>
      <c r="CI19" s="101"/>
      <c r="CK19" s="101"/>
      <c r="CL19" s="101"/>
      <c r="CM19" s="101"/>
      <c r="CN19" s="101"/>
      <c r="CO19" s="101"/>
    </row>
    <row r="20" spans="1:93" ht="15.75" thickBot="1" x14ac:dyDescent="0.3">
      <c r="A20" s="21"/>
      <c r="B20" s="21"/>
      <c r="C20" s="21"/>
      <c r="D20" s="21"/>
      <c r="E20" s="21"/>
      <c r="F20" s="22"/>
      <c r="G20" s="23" t="s">
        <v>64</v>
      </c>
      <c r="H20" s="24">
        <f>SUM(H7:H19)</f>
        <v>620896</v>
      </c>
      <c r="I20" s="24">
        <f t="shared" ref="I20:J20" si="23">SUM(I7:I19)</f>
        <v>620896</v>
      </c>
      <c r="J20" s="24">
        <f t="shared" si="23"/>
        <v>620896</v>
      </c>
      <c r="K20" s="24">
        <f>SUM(K7:K19)</f>
        <v>620896</v>
      </c>
      <c r="L20" s="708">
        <f>SUM(L7:L19)</f>
        <v>2483584</v>
      </c>
      <c r="M20" s="24"/>
      <c r="N20" s="24"/>
      <c r="O20" s="28"/>
      <c r="P20" s="200"/>
      <c r="Q20" s="200"/>
      <c r="R20" s="200"/>
      <c r="S20" s="200"/>
      <c r="T20" s="200"/>
      <c r="U20" s="23"/>
      <c r="V20" s="29">
        <f>SUM(V7:V19)</f>
        <v>959784.10599999991</v>
      </c>
      <c r="W20" s="29">
        <f t="shared" ref="W20" si="24">SUM(W7:W19)</f>
        <v>1209656.2280000001</v>
      </c>
      <c r="X20" s="28"/>
      <c r="Y20" s="29">
        <f>SUM(Y7:Y19)</f>
        <v>157071.83300000001</v>
      </c>
      <c r="Z20" s="29">
        <f>SUM(Z7:Z19)</f>
        <v>157071.83300000001</v>
      </c>
      <c r="AA20" s="50"/>
      <c r="AB20" s="107" t="s">
        <v>187</v>
      </c>
      <c r="AC20" s="295">
        <f>SUM(AC7:AC16)</f>
        <v>1</v>
      </c>
      <c r="AD20" s="295">
        <f>SUM(AD7:AD16)</f>
        <v>1</v>
      </c>
      <c r="AE20" s="296"/>
      <c r="AF20" s="295">
        <f>SUM(AF7:AF16)</f>
        <v>1</v>
      </c>
      <c r="AG20" s="295">
        <f>SUM(AG7:AG16)</f>
        <v>1</v>
      </c>
      <c r="AH20" s="306"/>
      <c r="AI20" s="29">
        <f>SUM(AI7:AI19)</f>
        <v>228620.57404919996</v>
      </c>
      <c r="AJ20" s="29">
        <f t="shared" ref="AJ20" si="25">SUM(AJ7:AJ19)</f>
        <v>332655.46270000003</v>
      </c>
      <c r="AK20" s="29"/>
      <c r="AL20" s="29">
        <f>SUM(AL7:AL19)</f>
        <v>47121.549899999998</v>
      </c>
      <c r="AM20" s="29">
        <f>SUM(AM7:AM19)</f>
        <v>48331.003014099995</v>
      </c>
      <c r="AN20" s="306"/>
      <c r="AO20" s="29">
        <f>SUM(AO7:AO19)</f>
        <v>146271.09775439999</v>
      </c>
      <c r="AP20" s="29">
        <f>SUM(AP7:AP19)</f>
        <v>235761.99883719999</v>
      </c>
      <c r="AQ20" s="29"/>
      <c r="AR20" s="29">
        <f>SUM(AR7:AR19)</f>
        <v>33958.930294599995</v>
      </c>
      <c r="AS20" s="29">
        <f>SUM(AS7:AS19)</f>
        <v>36252.179056399997</v>
      </c>
      <c r="AT20" s="306"/>
      <c r="AU20" s="29">
        <f>SUM(AU7:AU19)</f>
        <v>208561.08623379999</v>
      </c>
      <c r="AV20" s="29">
        <f t="shared" ref="AV20" si="26">SUM(AV7:AV19)</f>
        <v>289228.8041148</v>
      </c>
      <c r="AW20" s="29"/>
      <c r="AX20" s="29">
        <f>SUM(AX7:AX19)</f>
        <v>31414.366600000008</v>
      </c>
      <c r="AY20" s="29">
        <f>SUM(AY7:AY19)</f>
        <v>45299.516637200002</v>
      </c>
      <c r="AZ20" s="306"/>
      <c r="BA20" s="29">
        <f>SUM(BA7:BA19)</f>
        <v>376331.3479626</v>
      </c>
      <c r="BB20" s="29">
        <f t="shared" ref="BB20" si="27">SUM(BB7:BB19)</f>
        <v>352009.96234799997</v>
      </c>
      <c r="BC20" s="67"/>
      <c r="BD20" s="29">
        <f>SUM(BD7:BD19)</f>
        <v>44576.986205400004</v>
      </c>
      <c r="BE20" s="29">
        <f>SUM(BE7:BE19)</f>
        <v>27189.134292299997</v>
      </c>
      <c r="BF20" s="306"/>
      <c r="BG20" s="45"/>
      <c r="BH20" s="45"/>
      <c r="BI20" s="45"/>
      <c r="BJ20" s="45"/>
      <c r="BK20" s="45"/>
      <c r="BL20" s="28"/>
      <c r="BM20" s="45"/>
      <c r="BN20" s="45"/>
      <c r="BO20" s="45"/>
      <c r="BP20" s="45"/>
      <c r="BQ20" s="45"/>
      <c r="BR20" s="28"/>
      <c r="BS20" s="45"/>
      <c r="BT20" s="45"/>
      <c r="BU20" s="45"/>
      <c r="BV20" s="45"/>
      <c r="BW20" s="45"/>
      <c r="BX20" s="28"/>
      <c r="BY20" s="45"/>
      <c r="BZ20" s="45"/>
      <c r="CA20" s="45"/>
      <c r="CB20" s="45"/>
      <c r="CC20" s="45"/>
      <c r="CD20" s="28"/>
      <c r="CE20" s="45"/>
      <c r="CF20" s="45"/>
      <c r="CG20" s="45"/>
      <c r="CH20" s="45"/>
      <c r="CI20" s="45"/>
      <c r="CJ20" s="28"/>
      <c r="CK20" s="45"/>
      <c r="CL20" s="45"/>
      <c r="CM20" s="45"/>
      <c r="CN20" s="45"/>
      <c r="CO20" s="45"/>
    </row>
    <row r="21" spans="1:93" ht="15.75" thickTop="1" x14ac:dyDescent="0.25">
      <c r="A21" s="16"/>
      <c r="B21" s="16"/>
      <c r="C21" s="16"/>
      <c r="D21" s="16"/>
      <c r="E21" s="16"/>
      <c r="F21" s="17"/>
      <c r="G21" s="18"/>
      <c r="H21" s="19"/>
      <c r="I21" s="19"/>
      <c r="J21" s="19"/>
      <c r="K21" s="19"/>
      <c r="L21" s="460"/>
      <c r="M21" s="20"/>
      <c r="N21" s="20"/>
      <c r="P21" s="197"/>
      <c r="Q21" s="197"/>
      <c r="R21" s="197"/>
      <c r="S21" s="197"/>
      <c r="T21" s="197"/>
      <c r="AG21"/>
      <c r="AH21" s="301"/>
      <c r="AN21" s="301"/>
      <c r="AT21" s="301"/>
      <c r="AU21" s="67"/>
      <c r="AV21" s="67"/>
      <c r="AX21" s="67"/>
      <c r="AY21" s="67"/>
      <c r="AZ21" s="301"/>
      <c r="BF21" s="301"/>
    </row>
    <row r="22" spans="1:93" ht="15.75" thickBot="1" x14ac:dyDescent="0.3">
      <c r="A22" s="760" t="s">
        <v>65</v>
      </c>
      <c r="B22" s="760"/>
      <c r="C22" s="760"/>
      <c r="D22" s="760"/>
      <c r="E22" s="760"/>
      <c r="F22" s="760"/>
      <c r="G22" s="760"/>
      <c r="H22" s="15"/>
      <c r="I22" s="15"/>
      <c r="J22" s="15"/>
      <c r="K22" s="15"/>
      <c r="L22" s="704"/>
      <c r="M22" s="15"/>
      <c r="N22" s="15"/>
      <c r="O22" s="15"/>
      <c r="P22" s="198"/>
      <c r="Q22" s="198"/>
      <c r="R22" s="198"/>
      <c r="S22" s="198"/>
      <c r="T22" s="198"/>
      <c r="U22" s="65"/>
      <c r="V22" s="9"/>
      <c r="W22" s="9"/>
      <c r="X22" s="9"/>
      <c r="Y22" s="9"/>
      <c r="Z22" s="9"/>
      <c r="AA22" s="51"/>
      <c r="AB22" s="9"/>
      <c r="AC22" s="9"/>
      <c r="AD22" s="9"/>
      <c r="AE22" s="9"/>
      <c r="AF22" s="9"/>
      <c r="AG22" s="9"/>
      <c r="AH22" s="313"/>
      <c r="AI22" s="9"/>
      <c r="AJ22" s="9"/>
      <c r="AK22" s="9"/>
      <c r="AL22" s="9"/>
      <c r="AM22" s="9"/>
      <c r="AN22" s="313"/>
      <c r="AO22" s="9"/>
      <c r="AP22" s="9"/>
      <c r="AQ22" s="9"/>
      <c r="AR22" s="9"/>
      <c r="AS22" s="9"/>
      <c r="AT22" s="313"/>
      <c r="AU22" s="75"/>
      <c r="AV22" s="75"/>
      <c r="AW22" s="9"/>
      <c r="AX22" s="75"/>
      <c r="AY22" s="75"/>
      <c r="AZ22" s="313"/>
      <c r="BA22" s="9"/>
      <c r="BB22" s="9"/>
      <c r="BC22" s="9"/>
      <c r="BD22" s="9"/>
      <c r="BE22" s="9"/>
      <c r="BF22" s="313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x14ac:dyDescent="0.25">
      <c r="A23" s="35" t="s">
        <v>45</v>
      </c>
      <c r="B23" s="35" t="s">
        <v>66</v>
      </c>
      <c r="C23" s="35" t="s">
        <v>47</v>
      </c>
      <c r="D23" s="35" t="s">
        <v>48</v>
      </c>
      <c r="E23" s="35" t="s">
        <v>48</v>
      </c>
      <c r="F23" s="17" t="str">
        <f t="shared" ref="F23:F86" si="28">CONCATENATE(A23,"-",B23,"-",C23,"-",D23,"-",E23)</f>
        <v>02-5002-01-00-00</v>
      </c>
      <c r="G23" s="37" t="s">
        <v>11</v>
      </c>
      <c r="H23" s="19">
        <f t="shared" ref="H23:K42" si="29">($L23/4)</f>
        <v>131000</v>
      </c>
      <c r="I23" s="19">
        <f t="shared" si="29"/>
        <v>131000</v>
      </c>
      <c r="J23" s="19">
        <f t="shared" si="29"/>
        <v>131000</v>
      </c>
      <c r="K23" s="19">
        <f>($L23/4)</f>
        <v>131000</v>
      </c>
      <c r="L23" s="20">
        <v>524000</v>
      </c>
      <c r="M23" s="20">
        <v>374984</v>
      </c>
      <c r="N23" s="206" t="s">
        <v>11</v>
      </c>
      <c r="P23" s="195">
        <f>INDEX('Apportionment Bases'!M$6:M$33,MATCH('PC2'!$N23,'Apportionment Bases'!$A$6:$A$33,0))</f>
        <v>0.25</v>
      </c>
      <c r="Q23" s="195">
        <f>INDEX('Apportionment Bases'!N$6:N$33,MATCH('PC2'!$N23,'Apportionment Bases'!$A$6:$A$33,0))</f>
        <v>0.65</v>
      </c>
      <c r="R23" s="199"/>
      <c r="S23" s="195">
        <f>INDEX('Apportionment Bases'!$P$6:$P$33,MATCH('PC2'!N23,'Apportionment Bases'!$A$6:$A$33,0))</f>
        <v>0.05</v>
      </c>
      <c r="T23" s="195">
        <f>INDEX('Apportionment Bases'!Q$6:Q$33,MATCH('PC2'!$N23,'Apportionment Bases'!$A$6:$A$33,0))</f>
        <v>0.05</v>
      </c>
      <c r="V23" s="72">
        <f>P23*$L23</f>
        <v>131000</v>
      </c>
      <c r="W23" s="72">
        <f>Q23*$L23</f>
        <v>340600</v>
      </c>
      <c r="X23" s="66"/>
      <c r="Y23" s="72">
        <f t="shared" ref="Y23:Y54" si="30">S23*$L23</f>
        <v>26200</v>
      </c>
      <c r="Z23" s="72">
        <f t="shared" ref="Z23:Z54" si="31">T23*$L23</f>
        <v>26200</v>
      </c>
      <c r="AA23" s="48" t="str">
        <f t="shared" ref="AA23:AA54" si="32">IF(SUM(V23:Z23)=L23,"TRUE","FALSE")</f>
        <v>TRUE</v>
      </c>
      <c r="AH23" s="300"/>
      <c r="AI23" s="72">
        <f>$AC$7*$V23</f>
        <v>31204.2</v>
      </c>
      <c r="AJ23" s="72">
        <f>$AD$7*$W23</f>
        <v>93665.000000000015</v>
      </c>
      <c r="AK23" s="74"/>
      <c r="AL23" s="72">
        <f t="shared" ref="AL23:AL54" si="33">$AF$7*$Y23</f>
        <v>7860</v>
      </c>
      <c r="AM23" s="72">
        <f t="shared" ref="AM23:AM54" si="34">$AG$7*$Z23</f>
        <v>8061.7399999999989</v>
      </c>
      <c r="AN23" s="301"/>
      <c r="AO23" s="72">
        <f>$AC$8*$V23</f>
        <v>19964.400000000001</v>
      </c>
      <c r="AP23" s="72">
        <f>$AD$8*$W23</f>
        <v>66382.94</v>
      </c>
      <c r="AQ23" s="74"/>
      <c r="AR23" s="72">
        <f t="shared" ref="AR23:AR54" si="35">$AF$8*$Y23</f>
        <v>5664.4400000000005</v>
      </c>
      <c r="AS23" s="72">
        <f t="shared" ref="AS23:AS54" si="36">$AG$8*$Z23</f>
        <v>6046.96</v>
      </c>
      <c r="AT23" s="301"/>
      <c r="AU23" s="72">
        <f>$AC$9*$V23</f>
        <v>28466.3</v>
      </c>
      <c r="AV23" s="72">
        <f>$AD$9*$W23</f>
        <v>81437.460000000006</v>
      </c>
      <c r="AW23" s="66"/>
      <c r="AX23" s="72">
        <f t="shared" ref="AX23:AX54" si="37">$AF$9*$Y23</f>
        <v>5240</v>
      </c>
      <c r="AY23" s="72">
        <f t="shared" ref="AY23:AY54" si="38">$AG$9*$Z23</f>
        <v>7556.08</v>
      </c>
      <c r="AZ23" s="301"/>
      <c r="BA23" s="72">
        <f t="shared" ref="BA23:BA86" si="39">$AC$10*$V23</f>
        <v>51365.1</v>
      </c>
      <c r="BB23" s="72">
        <f t="shared" ref="BB23:BB86" si="40">$AD$10*$W23</f>
        <v>99114.599999999991</v>
      </c>
      <c r="BC23" s="74"/>
      <c r="BD23" s="72">
        <f t="shared" ref="BD23:BD54" si="41">$AF$10*$Y23</f>
        <v>7435.5599999999995</v>
      </c>
      <c r="BE23" s="72">
        <f t="shared" ref="BE23:BE54" si="42">$AG$10*$Z23</f>
        <v>4535.22</v>
      </c>
      <c r="BF23" s="301"/>
      <c r="BG23" s="44"/>
      <c r="BH23" s="44"/>
      <c r="BI23" s="44"/>
      <c r="BJ23" s="44"/>
      <c r="BK23" s="44"/>
      <c r="BM23" s="44"/>
      <c r="BN23" s="44"/>
      <c r="BO23" s="44"/>
      <c r="BP23" s="44"/>
      <c r="BQ23" s="44"/>
      <c r="BS23" s="44"/>
      <c r="BT23" s="44"/>
      <c r="BU23" s="44"/>
      <c r="BV23" s="44"/>
      <c r="BW23" s="44"/>
      <c r="BY23" s="44"/>
      <c r="BZ23" s="44"/>
      <c r="CA23" s="44"/>
      <c r="CB23" s="44"/>
      <c r="CC23" s="44"/>
      <c r="CE23" s="44"/>
      <c r="CF23" s="44"/>
      <c r="CG23" s="44"/>
      <c r="CH23" s="44"/>
      <c r="CI23" s="44"/>
      <c r="CK23" s="44"/>
      <c r="CL23" s="44"/>
      <c r="CM23" s="44"/>
      <c r="CN23" s="44"/>
      <c r="CO23" s="44"/>
    </row>
    <row r="24" spans="1:93" x14ac:dyDescent="0.25">
      <c r="A24" s="35" t="s">
        <v>45</v>
      </c>
      <c r="B24" s="35" t="s">
        <v>67</v>
      </c>
      <c r="C24" s="35" t="s">
        <v>47</v>
      </c>
      <c r="D24" s="35" t="s">
        <v>48</v>
      </c>
      <c r="E24" s="35" t="s">
        <v>48</v>
      </c>
      <c r="F24" s="17" t="str">
        <f t="shared" si="28"/>
        <v>02-5003-01-00-00</v>
      </c>
      <c r="G24" s="37" t="s">
        <v>12</v>
      </c>
      <c r="H24" s="19">
        <f t="shared" si="29"/>
        <v>16250</v>
      </c>
      <c r="I24" s="19">
        <f t="shared" si="29"/>
        <v>16250</v>
      </c>
      <c r="J24" s="19">
        <f t="shared" si="29"/>
        <v>16250</v>
      </c>
      <c r="K24" s="19">
        <f t="shared" si="29"/>
        <v>16250</v>
      </c>
      <c r="L24" s="20">
        <v>65000</v>
      </c>
      <c r="M24" s="20">
        <v>120020</v>
      </c>
      <c r="N24" s="206" t="s">
        <v>12</v>
      </c>
      <c r="P24" s="195">
        <f>INDEX('Apportionment Bases'!M$6:M$33,MATCH('PC2'!$N24,'Apportionment Bases'!$A$6:$A$33,0))</f>
        <v>0.25</v>
      </c>
      <c r="Q24" s="195">
        <f>INDEX('Apportionment Bases'!N$6:N$33,MATCH('PC2'!$N24,'Apportionment Bases'!$A$6:$A$33,0))</f>
        <v>0.65</v>
      </c>
      <c r="R24" s="199"/>
      <c r="S24" s="195">
        <f>INDEX('Apportionment Bases'!$P$6:$P$33,MATCH('PC2'!N24,'Apportionment Bases'!$A$6:$A$33,0))</f>
        <v>0.05</v>
      </c>
      <c r="T24" s="195">
        <f>INDEX('Apportionment Bases'!Q$6:Q$33,MATCH('PC2'!$N24,'Apportionment Bases'!$A$6:$A$33,0))</f>
        <v>0.05</v>
      </c>
      <c r="V24" s="72">
        <f t="shared" ref="V24:V87" si="43">P24*$L24</f>
        <v>16250</v>
      </c>
      <c r="W24" s="72">
        <f t="shared" ref="W24:W87" si="44">Q24*$L24</f>
        <v>42250</v>
      </c>
      <c r="X24" s="66"/>
      <c r="Y24" s="72">
        <f t="shared" si="30"/>
        <v>3250</v>
      </c>
      <c r="Z24" s="72">
        <f t="shared" si="31"/>
        <v>3250</v>
      </c>
      <c r="AA24" s="48" t="str">
        <f t="shared" si="32"/>
        <v>TRUE</v>
      </c>
      <c r="AH24" s="300"/>
      <c r="AI24" s="72">
        <f t="shared" ref="AI24:AI87" si="45">$AC$7*$V24</f>
        <v>3870.75</v>
      </c>
      <c r="AJ24" s="72">
        <f>$AD$7*$W24</f>
        <v>11618.750000000002</v>
      </c>
      <c r="AK24" s="74"/>
      <c r="AL24" s="72">
        <f t="shared" si="33"/>
        <v>975</v>
      </c>
      <c r="AM24" s="72">
        <f t="shared" si="34"/>
        <v>1000.0249999999999</v>
      </c>
      <c r="AN24" s="301"/>
      <c r="AO24" s="72">
        <f t="shared" ref="AO24:AO87" si="46">$AC$8*$V24</f>
        <v>2476.5</v>
      </c>
      <c r="AP24" s="72">
        <f t="shared" ref="AP24:AP87" si="47">$AD$8*$W24</f>
        <v>8234.5249999999996</v>
      </c>
      <c r="AQ24" s="74"/>
      <c r="AR24" s="72">
        <f t="shared" si="35"/>
        <v>702.65</v>
      </c>
      <c r="AS24" s="72">
        <f t="shared" si="36"/>
        <v>750.1</v>
      </c>
      <c r="AT24" s="301"/>
      <c r="AU24" s="72">
        <f t="shared" ref="AU24:AU87" si="48">$AC$9*$V24</f>
        <v>3531.125</v>
      </c>
      <c r="AV24" s="72">
        <f t="shared" ref="AV24:AV87" si="49">$AD$9*$W24</f>
        <v>10101.975</v>
      </c>
      <c r="AW24" s="66"/>
      <c r="AX24" s="72">
        <f t="shared" si="37"/>
        <v>650</v>
      </c>
      <c r="AY24" s="72">
        <f t="shared" si="38"/>
        <v>937.3</v>
      </c>
      <c r="AZ24" s="301"/>
      <c r="BA24" s="72">
        <f t="shared" si="39"/>
        <v>6371.625</v>
      </c>
      <c r="BB24" s="72">
        <f t="shared" si="40"/>
        <v>12294.75</v>
      </c>
      <c r="BC24" s="74"/>
      <c r="BD24" s="72">
        <f t="shared" si="41"/>
        <v>922.35</v>
      </c>
      <c r="BE24" s="72">
        <f t="shared" si="42"/>
        <v>562.57500000000005</v>
      </c>
      <c r="BF24" s="301"/>
      <c r="BG24" s="44"/>
      <c r="BH24" s="44"/>
      <c r="BI24" s="44"/>
      <c r="BJ24" s="44"/>
      <c r="BK24" s="44"/>
      <c r="BM24" s="44"/>
      <c r="BN24" s="44"/>
      <c r="BO24" s="44"/>
      <c r="BP24" s="44"/>
      <c r="BQ24" s="44"/>
      <c r="BS24" s="44"/>
      <c r="BT24" s="44"/>
      <c r="BU24" s="44"/>
      <c r="BV24" s="44"/>
      <c r="BW24" s="44"/>
      <c r="BY24" s="44"/>
      <c r="BZ24" s="44"/>
      <c r="CA24" s="44"/>
      <c r="CB24" s="44"/>
      <c r="CC24" s="44"/>
      <c r="CE24" s="44"/>
      <c r="CF24" s="44"/>
      <c r="CG24" s="44"/>
      <c r="CH24" s="44"/>
      <c r="CI24" s="44"/>
      <c r="CK24" s="44"/>
      <c r="CL24" s="44"/>
      <c r="CM24" s="44"/>
      <c r="CN24" s="44"/>
      <c r="CO24" s="44"/>
    </row>
    <row r="25" spans="1:93" x14ac:dyDescent="0.25">
      <c r="A25" s="35" t="s">
        <v>45</v>
      </c>
      <c r="B25" s="105" t="s">
        <v>68</v>
      </c>
      <c r="C25" s="35" t="s">
        <v>47</v>
      </c>
      <c r="D25" s="35" t="s">
        <v>48</v>
      </c>
      <c r="E25" s="35" t="s">
        <v>48</v>
      </c>
      <c r="F25" s="17" t="str">
        <f t="shared" si="28"/>
        <v>02-5004-01-00-00</v>
      </c>
      <c r="G25" s="37" t="s">
        <v>69</v>
      </c>
      <c r="H25" s="19">
        <f t="shared" si="29"/>
        <v>3750</v>
      </c>
      <c r="I25" s="19">
        <f t="shared" si="29"/>
        <v>3750</v>
      </c>
      <c r="J25" s="19">
        <f t="shared" si="29"/>
        <v>3750</v>
      </c>
      <c r="K25" s="19">
        <f t="shared" si="29"/>
        <v>3750</v>
      </c>
      <c r="L25" s="20">
        <v>15000</v>
      </c>
      <c r="M25" s="20">
        <v>20008</v>
      </c>
      <c r="N25" s="206" t="s">
        <v>13</v>
      </c>
      <c r="P25" s="195">
        <f>INDEX('Apportionment Bases'!M$6:M$33,MATCH('PC2'!$N25,'Apportionment Bases'!$A$6:$A$33,0))</f>
        <v>0.5</v>
      </c>
      <c r="Q25" s="195">
        <f>INDEX('Apportionment Bases'!N$6:N$33,MATCH('PC2'!$N25,'Apportionment Bases'!$A$6:$A$33,0))</f>
        <v>0.4</v>
      </c>
      <c r="R25" s="199"/>
      <c r="S25" s="195">
        <f>INDEX('Apportionment Bases'!$P$6:$P$33,MATCH('PC2'!N25,'Apportionment Bases'!$A$6:$A$33,0))</f>
        <v>0.05</v>
      </c>
      <c r="T25" s="195">
        <f>INDEX('Apportionment Bases'!Q$6:Q$33,MATCH('PC2'!$N25,'Apportionment Bases'!$A$6:$A$33,0))</f>
        <v>0.05</v>
      </c>
      <c r="V25" s="72">
        <f t="shared" si="43"/>
        <v>7500</v>
      </c>
      <c r="W25" s="72">
        <f t="shared" si="44"/>
        <v>6000</v>
      </c>
      <c r="X25" s="66"/>
      <c r="Y25" s="72">
        <f t="shared" si="30"/>
        <v>750</v>
      </c>
      <c r="Z25" s="72">
        <f t="shared" si="31"/>
        <v>750</v>
      </c>
      <c r="AA25" s="48" t="str">
        <f t="shared" si="32"/>
        <v>TRUE</v>
      </c>
      <c r="AH25" s="300"/>
      <c r="AI25" s="72">
        <f t="shared" si="45"/>
        <v>1786.5</v>
      </c>
      <c r="AJ25" s="72">
        <f t="shared" ref="AJ25:AJ87" si="50">$AD$7*$W25</f>
        <v>1650.0000000000002</v>
      </c>
      <c r="AK25" s="74"/>
      <c r="AL25" s="72">
        <f t="shared" si="33"/>
        <v>225</v>
      </c>
      <c r="AM25" s="72">
        <f t="shared" si="34"/>
        <v>230.77499999999998</v>
      </c>
      <c r="AN25" s="301"/>
      <c r="AO25" s="72">
        <f t="shared" si="46"/>
        <v>1143</v>
      </c>
      <c r="AP25" s="72">
        <f t="shared" si="47"/>
        <v>1169.3999999999999</v>
      </c>
      <c r="AQ25" s="74"/>
      <c r="AR25" s="72">
        <f t="shared" si="35"/>
        <v>162.15</v>
      </c>
      <c r="AS25" s="72">
        <f t="shared" si="36"/>
        <v>173.1</v>
      </c>
      <c r="AT25" s="301"/>
      <c r="AU25" s="72">
        <f t="shared" si="48"/>
        <v>1629.75</v>
      </c>
      <c r="AV25" s="72">
        <f t="shared" si="49"/>
        <v>1434.6000000000001</v>
      </c>
      <c r="AW25" s="66"/>
      <c r="AX25" s="72">
        <f t="shared" si="37"/>
        <v>150</v>
      </c>
      <c r="AY25" s="72">
        <f t="shared" si="38"/>
        <v>216.29999999999998</v>
      </c>
      <c r="AZ25" s="301"/>
      <c r="BA25" s="72">
        <f t="shared" si="39"/>
        <v>2940.75</v>
      </c>
      <c r="BB25" s="72">
        <f t="shared" si="40"/>
        <v>1745.9999999999998</v>
      </c>
      <c r="BC25" s="74"/>
      <c r="BD25" s="72">
        <f t="shared" si="41"/>
        <v>212.85</v>
      </c>
      <c r="BE25" s="72">
        <f t="shared" si="42"/>
        <v>129.82500000000002</v>
      </c>
      <c r="BF25" s="301"/>
      <c r="BG25" s="44"/>
      <c r="BH25" s="44"/>
      <c r="BI25" s="44"/>
      <c r="BJ25" s="44"/>
      <c r="BK25" s="44"/>
      <c r="BM25" s="44"/>
      <c r="BN25" s="44"/>
      <c r="BO25" s="44"/>
      <c r="BP25" s="44"/>
      <c r="BQ25" s="44"/>
      <c r="BS25" s="44"/>
      <c r="BT25" s="44"/>
      <c r="BU25" s="44"/>
      <c r="BV25" s="44"/>
      <c r="BW25" s="44"/>
      <c r="BY25" s="44"/>
      <c r="BZ25" s="44"/>
      <c r="CA25" s="44"/>
      <c r="CB25" s="44"/>
      <c r="CC25" s="44"/>
      <c r="CE25" s="44"/>
      <c r="CF25" s="44"/>
      <c r="CG25" s="44"/>
      <c r="CH25" s="44"/>
      <c r="CI25" s="44"/>
      <c r="CK25" s="44"/>
      <c r="CL25" s="44"/>
      <c r="CM25" s="44"/>
      <c r="CN25" s="44"/>
      <c r="CO25" s="44"/>
    </row>
    <row r="26" spans="1:93" x14ac:dyDescent="0.25">
      <c r="A26" s="35" t="s">
        <v>45</v>
      </c>
      <c r="B26" s="35" t="s">
        <v>70</v>
      </c>
      <c r="C26" s="35" t="s">
        <v>47</v>
      </c>
      <c r="D26" s="35" t="s">
        <v>48</v>
      </c>
      <c r="E26" s="35" t="s">
        <v>48</v>
      </c>
      <c r="F26" s="17" t="str">
        <f t="shared" si="28"/>
        <v>02-5006-01-00-00</v>
      </c>
      <c r="G26" s="37" t="s">
        <v>14</v>
      </c>
      <c r="H26" s="19">
        <f t="shared" si="29"/>
        <v>7000</v>
      </c>
      <c r="I26" s="19">
        <f t="shared" si="29"/>
        <v>7000</v>
      </c>
      <c r="J26" s="19">
        <f t="shared" si="29"/>
        <v>7000</v>
      </c>
      <c r="K26" s="19">
        <f t="shared" si="29"/>
        <v>7000</v>
      </c>
      <c r="L26" s="20">
        <v>28000</v>
      </c>
      <c r="M26" s="20">
        <v>28000</v>
      </c>
      <c r="N26" s="206" t="s">
        <v>14</v>
      </c>
      <c r="P26" s="195">
        <f>INDEX('Apportionment Bases'!M$6:M$33,MATCH('PC2'!$N26,'Apportionment Bases'!$A$6:$A$33,0))</f>
        <v>0</v>
      </c>
      <c r="Q26" s="195">
        <f>INDEX('Apportionment Bases'!N$6:N$33,MATCH('PC2'!$N26,'Apportionment Bases'!$A$6:$A$33,0))</f>
        <v>1</v>
      </c>
      <c r="R26" s="199"/>
      <c r="S26" s="195">
        <f>INDEX('Apportionment Bases'!$P$6:$P$33,MATCH('PC2'!N26,'Apportionment Bases'!$A$6:$A$33,0))</f>
        <v>0</v>
      </c>
      <c r="T26" s="195">
        <f>INDEX('Apportionment Bases'!Q$6:Q$33,MATCH('PC2'!$N26,'Apportionment Bases'!$A$6:$A$33,0))</f>
        <v>0</v>
      </c>
      <c r="V26" s="72">
        <f t="shared" si="43"/>
        <v>0</v>
      </c>
      <c r="W26" s="72">
        <f t="shared" si="44"/>
        <v>28000</v>
      </c>
      <c r="X26" s="66"/>
      <c r="Y26" s="72">
        <f t="shared" si="30"/>
        <v>0</v>
      </c>
      <c r="Z26" s="72">
        <f t="shared" si="31"/>
        <v>0</v>
      </c>
      <c r="AA26" s="48" t="str">
        <f t="shared" si="32"/>
        <v>TRUE</v>
      </c>
      <c r="AH26" s="300"/>
      <c r="AI26" s="72">
        <f t="shared" si="45"/>
        <v>0</v>
      </c>
      <c r="AJ26" s="72">
        <f t="shared" si="50"/>
        <v>7700.0000000000009</v>
      </c>
      <c r="AK26" s="74"/>
      <c r="AL26" s="72">
        <f t="shared" si="33"/>
        <v>0</v>
      </c>
      <c r="AM26" s="72">
        <f t="shared" si="34"/>
        <v>0</v>
      </c>
      <c r="AN26" s="301"/>
      <c r="AO26" s="72">
        <f t="shared" si="46"/>
        <v>0</v>
      </c>
      <c r="AP26" s="72">
        <f t="shared" si="47"/>
        <v>5457.2</v>
      </c>
      <c r="AQ26" s="74"/>
      <c r="AR26" s="72">
        <f t="shared" si="35"/>
        <v>0</v>
      </c>
      <c r="AS26" s="72">
        <f t="shared" si="36"/>
        <v>0</v>
      </c>
      <c r="AT26" s="301"/>
      <c r="AU26" s="72">
        <f t="shared" si="48"/>
        <v>0</v>
      </c>
      <c r="AV26" s="72">
        <f t="shared" si="49"/>
        <v>6694.8</v>
      </c>
      <c r="AW26" s="66"/>
      <c r="AX26" s="72">
        <f t="shared" si="37"/>
        <v>0</v>
      </c>
      <c r="AY26" s="72">
        <f t="shared" si="38"/>
        <v>0</v>
      </c>
      <c r="AZ26" s="301"/>
      <c r="BA26" s="72">
        <f t="shared" si="39"/>
        <v>0</v>
      </c>
      <c r="BB26" s="72">
        <f t="shared" si="40"/>
        <v>8147.9999999999991</v>
      </c>
      <c r="BC26" s="74"/>
      <c r="BD26" s="72">
        <f t="shared" si="41"/>
        <v>0</v>
      </c>
      <c r="BE26" s="72">
        <f t="shared" si="42"/>
        <v>0</v>
      </c>
      <c r="BF26" s="301"/>
      <c r="BG26" s="44"/>
      <c r="BH26" s="44"/>
      <c r="BI26" s="44"/>
      <c r="BJ26" s="44"/>
      <c r="BK26" s="44"/>
      <c r="BM26" s="44"/>
      <c r="BN26" s="44"/>
      <c r="BO26" s="44"/>
      <c r="BP26" s="44"/>
      <c r="BQ26" s="44"/>
      <c r="BS26" s="44"/>
      <c r="BT26" s="44"/>
      <c r="BU26" s="44"/>
      <c r="BV26" s="44"/>
      <c r="BW26" s="44"/>
      <c r="BY26" s="44"/>
      <c r="BZ26" s="44"/>
      <c r="CA26" s="44"/>
      <c r="CB26" s="44"/>
      <c r="CC26" s="44"/>
      <c r="CE26" s="44"/>
      <c r="CF26" s="44"/>
      <c r="CG26" s="44"/>
      <c r="CH26" s="44"/>
      <c r="CI26" s="44"/>
      <c r="CK26" s="44"/>
      <c r="CL26" s="44"/>
      <c r="CM26" s="44"/>
      <c r="CN26" s="44"/>
      <c r="CO26" s="44"/>
    </row>
    <row r="27" spans="1:93" x14ac:dyDescent="0.25">
      <c r="A27" s="35" t="s">
        <v>45</v>
      </c>
      <c r="B27" s="35" t="s">
        <v>71</v>
      </c>
      <c r="C27" s="35" t="s">
        <v>47</v>
      </c>
      <c r="D27" s="35" t="s">
        <v>48</v>
      </c>
      <c r="E27" s="35" t="s">
        <v>48</v>
      </c>
      <c r="F27" s="17" t="str">
        <f t="shared" si="28"/>
        <v>02-5007-01-00-00</v>
      </c>
      <c r="G27" s="37" t="s">
        <v>72</v>
      </c>
      <c r="H27" s="19">
        <f t="shared" si="29"/>
        <v>75250</v>
      </c>
      <c r="I27" s="19">
        <f t="shared" si="29"/>
        <v>75250</v>
      </c>
      <c r="J27" s="19">
        <f t="shared" si="29"/>
        <v>75250</v>
      </c>
      <c r="K27" s="19">
        <f t="shared" si="29"/>
        <v>75250</v>
      </c>
      <c r="L27" s="20">
        <v>301000</v>
      </c>
      <c r="M27" s="20">
        <v>250008</v>
      </c>
      <c r="N27" s="206" t="s">
        <v>4</v>
      </c>
      <c r="P27" s="195">
        <f>INDEX('Apportionment Bases'!M$6:M$33,MATCH('PC2'!$N27,'Apportionment Bases'!$A$6:$A$33,0))</f>
        <v>1</v>
      </c>
      <c r="Q27" s="195">
        <f>INDEX('Apportionment Bases'!N$6:N$33,MATCH('PC2'!$N27,'Apportionment Bases'!$A$6:$A$33,0))</f>
        <v>0</v>
      </c>
      <c r="R27" s="199"/>
      <c r="S27" s="195">
        <f>INDEX('Apportionment Bases'!$P$6:$P$33,MATCH('PC2'!N27,'Apportionment Bases'!$A$6:$A$33,0))</f>
        <v>0</v>
      </c>
      <c r="T27" s="195">
        <f>INDEX('Apportionment Bases'!Q$6:Q$33,MATCH('PC2'!$N27,'Apportionment Bases'!$A$6:$A$33,0))</f>
        <v>0</v>
      </c>
      <c r="V27" s="72">
        <f t="shared" si="43"/>
        <v>301000</v>
      </c>
      <c r="W27" s="72">
        <f t="shared" si="44"/>
        <v>0</v>
      </c>
      <c r="X27" s="66"/>
      <c r="Y27" s="72">
        <f t="shared" si="30"/>
        <v>0</v>
      </c>
      <c r="Z27" s="72">
        <f t="shared" si="31"/>
        <v>0</v>
      </c>
      <c r="AA27" s="48" t="str">
        <f t="shared" si="32"/>
        <v>TRUE</v>
      </c>
      <c r="AH27" s="300"/>
      <c r="AI27" s="72">
        <f t="shared" si="45"/>
        <v>71698.2</v>
      </c>
      <c r="AJ27" s="72">
        <f t="shared" si="50"/>
        <v>0</v>
      </c>
      <c r="AK27" s="74"/>
      <c r="AL27" s="72">
        <f t="shared" si="33"/>
        <v>0</v>
      </c>
      <c r="AM27" s="72">
        <f t="shared" si="34"/>
        <v>0</v>
      </c>
      <c r="AN27" s="301"/>
      <c r="AO27" s="72">
        <f t="shared" si="46"/>
        <v>45872.4</v>
      </c>
      <c r="AP27" s="72">
        <f t="shared" si="47"/>
        <v>0</v>
      </c>
      <c r="AQ27" s="74"/>
      <c r="AR27" s="72">
        <f t="shared" si="35"/>
        <v>0</v>
      </c>
      <c r="AS27" s="72">
        <f t="shared" si="36"/>
        <v>0</v>
      </c>
      <c r="AT27" s="301"/>
      <c r="AU27" s="72">
        <f t="shared" si="48"/>
        <v>65407.299999999996</v>
      </c>
      <c r="AV27" s="72">
        <f t="shared" si="49"/>
        <v>0</v>
      </c>
      <c r="AW27" s="66"/>
      <c r="AX27" s="72">
        <f t="shared" si="37"/>
        <v>0</v>
      </c>
      <c r="AY27" s="72">
        <f t="shared" si="38"/>
        <v>0</v>
      </c>
      <c r="AZ27" s="301"/>
      <c r="BA27" s="72">
        <f t="shared" si="39"/>
        <v>118022.1</v>
      </c>
      <c r="BB27" s="72">
        <f t="shared" si="40"/>
        <v>0</v>
      </c>
      <c r="BC27" s="74"/>
      <c r="BD27" s="72">
        <f t="shared" si="41"/>
        <v>0</v>
      </c>
      <c r="BE27" s="72">
        <f t="shared" si="42"/>
        <v>0</v>
      </c>
      <c r="BF27" s="301"/>
      <c r="BG27" s="44"/>
      <c r="BH27" s="44"/>
      <c r="BI27" s="44"/>
      <c r="BJ27" s="44"/>
      <c r="BK27" s="44"/>
      <c r="BM27" s="44"/>
      <c r="BN27" s="44"/>
      <c r="BO27" s="44"/>
      <c r="BP27" s="44"/>
      <c r="BQ27" s="44"/>
      <c r="BS27" s="44"/>
      <c r="BT27" s="44"/>
      <c r="BU27" s="44"/>
      <c r="BV27" s="44"/>
      <c r="BW27" s="44"/>
      <c r="BY27" s="44"/>
      <c r="BZ27" s="44"/>
      <c r="CA27" s="44"/>
      <c r="CB27" s="44"/>
      <c r="CC27" s="44"/>
      <c r="CE27" s="44"/>
      <c r="CF27" s="44"/>
      <c r="CG27" s="44"/>
      <c r="CH27" s="44"/>
      <c r="CI27" s="44"/>
      <c r="CK27" s="44"/>
      <c r="CL27" s="44"/>
      <c r="CM27" s="44"/>
      <c r="CN27" s="44"/>
      <c r="CO27" s="44"/>
    </row>
    <row r="28" spans="1:93" x14ac:dyDescent="0.25">
      <c r="A28" s="35" t="s">
        <v>45</v>
      </c>
      <c r="B28" s="35" t="s">
        <v>73</v>
      </c>
      <c r="C28" s="35" t="s">
        <v>47</v>
      </c>
      <c r="D28" s="35" t="s">
        <v>48</v>
      </c>
      <c r="E28" s="35" t="s">
        <v>48</v>
      </c>
      <c r="F28" s="17" t="str">
        <f t="shared" si="28"/>
        <v>02-5008-01-00-00</v>
      </c>
      <c r="G28" s="37" t="s">
        <v>15</v>
      </c>
      <c r="H28" s="19">
        <f t="shared" si="29"/>
        <v>25000</v>
      </c>
      <c r="I28" s="19">
        <f t="shared" si="29"/>
        <v>25000</v>
      </c>
      <c r="J28" s="19">
        <f t="shared" si="29"/>
        <v>25000</v>
      </c>
      <c r="K28" s="19">
        <f t="shared" si="29"/>
        <v>25000</v>
      </c>
      <c r="L28" s="20">
        <v>100000</v>
      </c>
      <c r="M28" s="20">
        <v>105004</v>
      </c>
      <c r="N28" s="206" t="s">
        <v>15</v>
      </c>
      <c r="P28" s="195">
        <f>INDEX('Apportionment Bases'!M$6:M$33,MATCH('PC2'!$N28,'Apportionment Bases'!$A$6:$A$33,0))</f>
        <v>1</v>
      </c>
      <c r="Q28" s="195">
        <f>INDEX('Apportionment Bases'!N$6:N$33,MATCH('PC2'!$N28,'Apportionment Bases'!$A$6:$A$33,0))</f>
        <v>0</v>
      </c>
      <c r="R28" s="199"/>
      <c r="S28" s="195">
        <f>INDEX('Apportionment Bases'!$P$6:$P$33,MATCH('PC2'!N28,'Apportionment Bases'!$A$6:$A$33,0))</f>
        <v>0</v>
      </c>
      <c r="T28" s="195">
        <f>INDEX('Apportionment Bases'!Q$6:Q$33,MATCH('PC2'!$N28,'Apportionment Bases'!$A$6:$A$33,0))</f>
        <v>0</v>
      </c>
      <c r="V28" s="72">
        <f t="shared" si="43"/>
        <v>100000</v>
      </c>
      <c r="W28" s="72">
        <f t="shared" si="44"/>
        <v>0</v>
      </c>
      <c r="X28" s="66"/>
      <c r="Y28" s="72">
        <f t="shared" si="30"/>
        <v>0</v>
      </c>
      <c r="Z28" s="72">
        <f t="shared" si="31"/>
        <v>0</v>
      </c>
      <c r="AA28" s="48" t="str">
        <f t="shared" si="32"/>
        <v>TRUE</v>
      </c>
      <c r="AH28" s="300"/>
      <c r="AI28" s="72">
        <f t="shared" si="45"/>
        <v>23820</v>
      </c>
      <c r="AJ28" s="72">
        <f t="shared" si="50"/>
        <v>0</v>
      </c>
      <c r="AK28" s="74"/>
      <c r="AL28" s="72">
        <f t="shared" si="33"/>
        <v>0</v>
      </c>
      <c r="AM28" s="72">
        <f t="shared" si="34"/>
        <v>0</v>
      </c>
      <c r="AN28" s="301"/>
      <c r="AO28" s="72">
        <f t="shared" si="46"/>
        <v>15240</v>
      </c>
      <c r="AP28" s="72">
        <f t="shared" si="47"/>
        <v>0</v>
      </c>
      <c r="AQ28" s="74"/>
      <c r="AR28" s="72">
        <f t="shared" si="35"/>
        <v>0</v>
      </c>
      <c r="AS28" s="72">
        <f t="shared" si="36"/>
        <v>0</v>
      </c>
      <c r="AT28" s="301"/>
      <c r="AU28" s="72">
        <f t="shared" si="48"/>
        <v>21730</v>
      </c>
      <c r="AV28" s="72">
        <f t="shared" si="49"/>
        <v>0</v>
      </c>
      <c r="AW28" s="66"/>
      <c r="AX28" s="72">
        <f t="shared" si="37"/>
        <v>0</v>
      </c>
      <c r="AY28" s="72">
        <f t="shared" si="38"/>
        <v>0</v>
      </c>
      <c r="AZ28" s="301"/>
      <c r="BA28" s="72">
        <f t="shared" si="39"/>
        <v>39210</v>
      </c>
      <c r="BB28" s="72">
        <f t="shared" si="40"/>
        <v>0</v>
      </c>
      <c r="BC28" s="74"/>
      <c r="BD28" s="72">
        <f t="shared" si="41"/>
        <v>0</v>
      </c>
      <c r="BE28" s="72">
        <f t="shared" si="42"/>
        <v>0</v>
      </c>
      <c r="BF28" s="301"/>
      <c r="BG28" s="44"/>
      <c r="BH28" s="44"/>
      <c r="BI28" s="44"/>
      <c r="BJ28" s="44"/>
      <c r="BK28" s="44"/>
      <c r="BM28" s="44"/>
      <c r="BN28" s="44"/>
      <c r="BO28" s="44"/>
      <c r="BP28" s="44"/>
      <c r="BQ28" s="44"/>
      <c r="BS28" s="44"/>
      <c r="BT28" s="44"/>
      <c r="BU28" s="44"/>
      <c r="BV28" s="44"/>
      <c r="BW28" s="44"/>
      <c r="BY28" s="44"/>
      <c r="BZ28" s="44"/>
      <c r="CA28" s="44"/>
      <c r="CB28" s="44"/>
      <c r="CC28" s="44"/>
      <c r="CE28" s="44"/>
      <c r="CF28" s="44"/>
      <c r="CG28" s="44"/>
      <c r="CH28" s="44"/>
      <c r="CI28" s="44"/>
      <c r="CK28" s="44"/>
      <c r="CL28" s="44"/>
      <c r="CM28" s="44"/>
      <c r="CN28" s="44"/>
      <c r="CO28" s="44"/>
    </row>
    <row r="29" spans="1:93" x14ac:dyDescent="0.25">
      <c r="A29" s="35" t="s">
        <v>45</v>
      </c>
      <c r="B29" s="35" t="s">
        <v>74</v>
      </c>
      <c r="C29" s="35" t="s">
        <v>47</v>
      </c>
      <c r="D29" s="35" t="s">
        <v>48</v>
      </c>
      <c r="E29" s="35" t="s">
        <v>48</v>
      </c>
      <c r="F29" s="17" t="str">
        <f t="shared" si="28"/>
        <v>02-5009-01-00-00</v>
      </c>
      <c r="G29" s="37" t="s">
        <v>16</v>
      </c>
      <c r="H29" s="19">
        <f t="shared" si="29"/>
        <v>6250</v>
      </c>
      <c r="I29" s="19">
        <f t="shared" si="29"/>
        <v>6250</v>
      </c>
      <c r="J29" s="19">
        <f t="shared" si="29"/>
        <v>6250</v>
      </c>
      <c r="K29" s="19">
        <f t="shared" si="29"/>
        <v>6250</v>
      </c>
      <c r="L29" s="20">
        <v>25000</v>
      </c>
      <c r="M29" s="20">
        <v>28004</v>
      </c>
      <c r="N29" s="206" t="s">
        <v>16</v>
      </c>
      <c r="P29" s="195">
        <f>INDEX('Apportionment Bases'!M$6:M$33,MATCH('PC2'!$N29,'Apportionment Bases'!$A$6:$A$33,0))</f>
        <v>0.46</v>
      </c>
      <c r="Q29" s="195">
        <f>INDEX('Apportionment Bases'!N$6:N$33,MATCH('PC2'!$N29,'Apportionment Bases'!$A$6:$A$33,0))</f>
        <v>0.54</v>
      </c>
      <c r="R29" s="199"/>
      <c r="S29" s="195">
        <f>INDEX('Apportionment Bases'!$P$6:$P$33,MATCH('PC2'!N29,'Apportionment Bases'!$A$6:$A$33,0))</f>
        <v>0</v>
      </c>
      <c r="T29" s="195">
        <f>INDEX('Apportionment Bases'!Q$6:Q$33,MATCH('PC2'!$N29,'Apportionment Bases'!$A$6:$A$33,0))</f>
        <v>0</v>
      </c>
      <c r="V29" s="72">
        <f t="shared" si="43"/>
        <v>11500</v>
      </c>
      <c r="W29" s="72">
        <f t="shared" si="44"/>
        <v>13500</v>
      </c>
      <c r="X29" s="66"/>
      <c r="Y29" s="72">
        <f t="shared" si="30"/>
        <v>0</v>
      </c>
      <c r="Z29" s="72">
        <f t="shared" si="31"/>
        <v>0</v>
      </c>
      <c r="AA29" s="48" t="str">
        <f t="shared" si="32"/>
        <v>TRUE</v>
      </c>
      <c r="AH29" s="300"/>
      <c r="AI29" s="72">
        <f t="shared" si="45"/>
        <v>2739.2999999999997</v>
      </c>
      <c r="AJ29" s="72">
        <f t="shared" si="50"/>
        <v>3712.5000000000005</v>
      </c>
      <c r="AK29" s="74"/>
      <c r="AL29" s="72">
        <f t="shared" si="33"/>
        <v>0</v>
      </c>
      <c r="AM29" s="72">
        <f t="shared" si="34"/>
        <v>0</v>
      </c>
      <c r="AN29" s="301"/>
      <c r="AO29" s="72">
        <f t="shared" si="46"/>
        <v>1752.6000000000001</v>
      </c>
      <c r="AP29" s="72">
        <f t="shared" si="47"/>
        <v>2631.15</v>
      </c>
      <c r="AQ29" s="74"/>
      <c r="AR29" s="72">
        <f t="shared" si="35"/>
        <v>0</v>
      </c>
      <c r="AS29" s="72">
        <f t="shared" si="36"/>
        <v>0</v>
      </c>
      <c r="AT29" s="301"/>
      <c r="AU29" s="72">
        <f t="shared" si="48"/>
        <v>2498.9499999999998</v>
      </c>
      <c r="AV29" s="72">
        <f t="shared" si="49"/>
        <v>3227.85</v>
      </c>
      <c r="AW29" s="66"/>
      <c r="AX29" s="72">
        <f t="shared" si="37"/>
        <v>0</v>
      </c>
      <c r="AY29" s="72">
        <f t="shared" si="38"/>
        <v>0</v>
      </c>
      <c r="AZ29" s="301"/>
      <c r="BA29" s="72">
        <f t="shared" si="39"/>
        <v>4509.1499999999996</v>
      </c>
      <c r="BB29" s="72">
        <f t="shared" si="40"/>
        <v>3928.4999999999995</v>
      </c>
      <c r="BC29" s="74"/>
      <c r="BD29" s="72">
        <f t="shared" si="41"/>
        <v>0</v>
      </c>
      <c r="BE29" s="72">
        <f t="shared" si="42"/>
        <v>0</v>
      </c>
      <c r="BF29" s="301"/>
      <c r="BG29" s="44"/>
      <c r="BH29" s="44"/>
      <c r="BI29" s="44"/>
      <c r="BJ29" s="44"/>
      <c r="BK29" s="44"/>
      <c r="BM29" s="44"/>
      <c r="BN29" s="44"/>
      <c r="BO29" s="44"/>
      <c r="BP29" s="44"/>
      <c r="BQ29" s="44"/>
      <c r="BS29" s="44"/>
      <c r="BT29" s="44"/>
      <c r="BU29" s="44"/>
      <c r="BV29" s="44"/>
      <c r="BW29" s="44"/>
      <c r="BY29" s="44"/>
      <c r="BZ29" s="44"/>
      <c r="CA29" s="44"/>
      <c r="CB29" s="44"/>
      <c r="CC29" s="44"/>
      <c r="CE29" s="44"/>
      <c r="CF29" s="44"/>
      <c r="CG29" s="44"/>
      <c r="CH29" s="44"/>
      <c r="CI29" s="44"/>
      <c r="CK29" s="44"/>
      <c r="CL29" s="44"/>
      <c r="CM29" s="44"/>
      <c r="CN29" s="44"/>
      <c r="CO29" s="44"/>
    </row>
    <row r="30" spans="1:93" x14ac:dyDescent="0.25">
      <c r="A30" s="35" t="s">
        <v>45</v>
      </c>
      <c r="B30" s="35" t="s">
        <v>75</v>
      </c>
      <c r="C30" s="35" t="s">
        <v>47</v>
      </c>
      <c r="D30" s="35" t="s">
        <v>48</v>
      </c>
      <c r="E30" s="35" t="s">
        <v>48</v>
      </c>
      <c r="F30" s="17" t="str">
        <f t="shared" si="28"/>
        <v>02-5010-01-00-00</v>
      </c>
      <c r="G30" s="37" t="s">
        <v>76</v>
      </c>
      <c r="H30" s="19">
        <f t="shared" si="29"/>
        <v>250</v>
      </c>
      <c r="I30" s="19">
        <f t="shared" si="29"/>
        <v>250</v>
      </c>
      <c r="J30" s="19">
        <f t="shared" si="29"/>
        <v>250</v>
      </c>
      <c r="K30" s="19">
        <f t="shared" si="29"/>
        <v>250</v>
      </c>
      <c r="L30" s="20">
        <v>1000</v>
      </c>
      <c r="M30" s="20">
        <v>1000</v>
      </c>
      <c r="N30" s="206" t="s">
        <v>705</v>
      </c>
      <c r="P30" s="195">
        <f>INDEX('Apportionment Bases'!M$6:M$33,MATCH('PC2'!$N30,'Apportionment Bases'!$A$6:$A$33,0))</f>
        <v>0</v>
      </c>
      <c r="Q30" s="195">
        <f>INDEX('Apportionment Bases'!N$6:N$33,MATCH('PC2'!$N30,'Apportionment Bases'!$A$6:$A$33,0))</f>
        <v>0</v>
      </c>
      <c r="R30" s="199"/>
      <c r="S30" s="195">
        <f>INDEX('Apportionment Bases'!$P$6:$P$33,MATCH('PC2'!N30,'Apportionment Bases'!$A$6:$A$33,0))</f>
        <v>0.5</v>
      </c>
      <c r="T30" s="195">
        <f>INDEX('Apportionment Bases'!Q$6:Q$33,MATCH('PC2'!$N30,'Apportionment Bases'!$A$6:$A$33,0))</f>
        <v>0.5</v>
      </c>
      <c r="V30" s="72">
        <f t="shared" si="43"/>
        <v>0</v>
      </c>
      <c r="W30" s="72">
        <f t="shared" si="44"/>
        <v>0</v>
      </c>
      <c r="X30" s="66"/>
      <c r="Y30" s="72">
        <f t="shared" si="30"/>
        <v>500</v>
      </c>
      <c r="Z30" s="72">
        <f t="shared" si="31"/>
        <v>500</v>
      </c>
      <c r="AA30" s="48" t="str">
        <f t="shared" si="32"/>
        <v>TRUE</v>
      </c>
      <c r="AH30" s="300"/>
      <c r="AI30" s="72">
        <f t="shared" si="45"/>
        <v>0</v>
      </c>
      <c r="AJ30" s="72">
        <f t="shared" si="50"/>
        <v>0</v>
      </c>
      <c r="AK30" s="74"/>
      <c r="AL30" s="72">
        <f t="shared" si="33"/>
        <v>150</v>
      </c>
      <c r="AM30" s="72">
        <f t="shared" si="34"/>
        <v>153.85</v>
      </c>
      <c r="AN30" s="301"/>
      <c r="AO30" s="72">
        <f t="shared" si="46"/>
        <v>0</v>
      </c>
      <c r="AP30" s="72">
        <f t="shared" si="47"/>
        <v>0</v>
      </c>
      <c r="AQ30" s="74"/>
      <c r="AR30" s="72">
        <f t="shared" si="35"/>
        <v>108.10000000000001</v>
      </c>
      <c r="AS30" s="72">
        <f t="shared" si="36"/>
        <v>115.4</v>
      </c>
      <c r="AT30" s="301"/>
      <c r="AU30" s="72">
        <f t="shared" si="48"/>
        <v>0</v>
      </c>
      <c r="AV30" s="72">
        <f t="shared" si="49"/>
        <v>0</v>
      </c>
      <c r="AW30" s="66"/>
      <c r="AX30" s="72">
        <f t="shared" si="37"/>
        <v>100</v>
      </c>
      <c r="AY30" s="72">
        <f t="shared" si="38"/>
        <v>144.19999999999999</v>
      </c>
      <c r="AZ30" s="301"/>
      <c r="BA30" s="72">
        <f t="shared" si="39"/>
        <v>0</v>
      </c>
      <c r="BB30" s="72">
        <f t="shared" si="40"/>
        <v>0</v>
      </c>
      <c r="BC30" s="74"/>
      <c r="BD30" s="72">
        <f t="shared" si="41"/>
        <v>141.9</v>
      </c>
      <c r="BE30" s="72">
        <f t="shared" si="42"/>
        <v>86.55</v>
      </c>
      <c r="BF30" s="301"/>
      <c r="BG30" s="44"/>
      <c r="BH30" s="44"/>
      <c r="BI30" s="44"/>
      <c r="BJ30" s="44"/>
      <c r="BK30" s="44"/>
      <c r="BM30" s="44"/>
      <c r="BN30" s="44"/>
      <c r="BO30" s="44"/>
      <c r="BP30" s="44"/>
      <c r="BQ30" s="44"/>
      <c r="BS30" s="44"/>
      <c r="BT30" s="44"/>
      <c r="BU30" s="44"/>
      <c r="BV30" s="44"/>
      <c r="BW30" s="44"/>
      <c r="BY30" s="44"/>
      <c r="BZ30" s="44"/>
      <c r="CA30" s="44"/>
      <c r="CB30" s="44"/>
      <c r="CC30" s="44"/>
      <c r="CE30" s="44"/>
      <c r="CF30" s="44"/>
      <c r="CG30" s="44"/>
      <c r="CH30" s="44"/>
      <c r="CI30" s="44"/>
      <c r="CK30" s="44"/>
      <c r="CL30" s="44"/>
      <c r="CM30" s="44"/>
      <c r="CN30" s="44"/>
      <c r="CO30" s="44"/>
    </row>
    <row r="31" spans="1:93" x14ac:dyDescent="0.25">
      <c r="A31" s="35" t="s">
        <v>45</v>
      </c>
      <c r="B31" s="35" t="s">
        <v>77</v>
      </c>
      <c r="C31" s="35" t="s">
        <v>45</v>
      </c>
      <c r="D31" s="35" t="s">
        <v>48</v>
      </c>
      <c r="E31" s="35" t="s">
        <v>48</v>
      </c>
      <c r="F31" s="17" t="str">
        <f t="shared" si="28"/>
        <v>02-5011-02-00-00</v>
      </c>
      <c r="G31" s="37" t="s">
        <v>78</v>
      </c>
      <c r="H31" s="19">
        <f t="shared" si="29"/>
        <v>2625</v>
      </c>
      <c r="I31" s="19">
        <f t="shared" si="29"/>
        <v>2625</v>
      </c>
      <c r="J31" s="19">
        <f t="shared" si="29"/>
        <v>2625</v>
      </c>
      <c r="K31" s="19">
        <f t="shared" si="29"/>
        <v>2625</v>
      </c>
      <c r="L31" s="20">
        <v>10500</v>
      </c>
      <c r="M31" s="20">
        <v>10692</v>
      </c>
      <c r="N31" s="206" t="s">
        <v>17</v>
      </c>
      <c r="P31" s="195">
        <f>INDEX('Apportionment Bases'!M$6:M$33,MATCH('PC2'!$N31,'Apportionment Bases'!$A$6:$A$33,0))</f>
        <v>0.25</v>
      </c>
      <c r="Q31" s="195">
        <f>INDEX('Apportionment Bases'!N$6:N$33,MATCH('PC2'!$N31,'Apportionment Bases'!$A$6:$A$33,0))</f>
        <v>0.75</v>
      </c>
      <c r="R31" s="199"/>
      <c r="S31" s="195">
        <f>INDEX('Apportionment Bases'!$P$6:$P$33,MATCH('PC2'!N31,'Apportionment Bases'!$A$6:$A$33,0))</f>
        <v>0</v>
      </c>
      <c r="T31" s="195">
        <f>INDEX('Apportionment Bases'!Q$6:Q$33,MATCH('PC2'!$N31,'Apportionment Bases'!$A$6:$A$33,0))</f>
        <v>0</v>
      </c>
      <c r="V31" s="72">
        <f t="shared" si="43"/>
        <v>2625</v>
      </c>
      <c r="W31" s="72">
        <f t="shared" si="44"/>
        <v>7875</v>
      </c>
      <c r="X31" s="66"/>
      <c r="Y31" s="72">
        <f t="shared" si="30"/>
        <v>0</v>
      </c>
      <c r="Z31" s="72">
        <f t="shared" si="31"/>
        <v>0</v>
      </c>
      <c r="AA31" s="48" t="str">
        <f t="shared" si="32"/>
        <v>TRUE</v>
      </c>
      <c r="AH31" s="300"/>
      <c r="AI31" s="72">
        <f t="shared" si="45"/>
        <v>625.27499999999998</v>
      </c>
      <c r="AJ31" s="72">
        <f t="shared" si="50"/>
        <v>2165.625</v>
      </c>
      <c r="AK31" s="74"/>
      <c r="AL31" s="72">
        <f t="shared" si="33"/>
        <v>0</v>
      </c>
      <c r="AM31" s="72">
        <f t="shared" si="34"/>
        <v>0</v>
      </c>
      <c r="AN31" s="301"/>
      <c r="AO31" s="72">
        <f t="shared" si="46"/>
        <v>400.05</v>
      </c>
      <c r="AP31" s="72">
        <f t="shared" si="47"/>
        <v>1534.8374999999999</v>
      </c>
      <c r="AQ31" s="74"/>
      <c r="AR31" s="72">
        <f t="shared" si="35"/>
        <v>0</v>
      </c>
      <c r="AS31" s="72">
        <f t="shared" si="36"/>
        <v>0</v>
      </c>
      <c r="AT31" s="301"/>
      <c r="AU31" s="72">
        <f t="shared" si="48"/>
        <v>570.41250000000002</v>
      </c>
      <c r="AV31" s="72">
        <f t="shared" si="49"/>
        <v>1882.9125000000001</v>
      </c>
      <c r="AW31" s="66"/>
      <c r="AX31" s="72">
        <f t="shared" si="37"/>
        <v>0</v>
      </c>
      <c r="AY31" s="72">
        <f t="shared" si="38"/>
        <v>0</v>
      </c>
      <c r="AZ31" s="301"/>
      <c r="BA31" s="72">
        <f t="shared" si="39"/>
        <v>1029.2625</v>
      </c>
      <c r="BB31" s="72">
        <f t="shared" si="40"/>
        <v>2291.625</v>
      </c>
      <c r="BC31" s="74"/>
      <c r="BD31" s="72">
        <f t="shared" si="41"/>
        <v>0</v>
      </c>
      <c r="BE31" s="72">
        <f t="shared" si="42"/>
        <v>0</v>
      </c>
      <c r="BF31" s="301"/>
      <c r="BG31" s="44"/>
      <c r="BH31" s="44"/>
      <c r="BI31" s="44"/>
      <c r="BJ31" s="44"/>
      <c r="BK31" s="44"/>
      <c r="BM31" s="44"/>
      <c r="BN31" s="44"/>
      <c r="BO31" s="44"/>
      <c r="BP31" s="44"/>
      <c r="BQ31" s="44"/>
      <c r="BS31" s="44"/>
      <c r="BT31" s="44"/>
      <c r="BU31" s="44"/>
      <c r="BV31" s="44"/>
      <c r="BW31" s="44"/>
      <c r="BY31" s="44"/>
      <c r="BZ31" s="44"/>
      <c r="CA31" s="44"/>
      <c r="CB31" s="44"/>
      <c r="CC31" s="44"/>
      <c r="CE31" s="44"/>
      <c r="CF31" s="44"/>
      <c r="CG31" s="44"/>
      <c r="CH31" s="44"/>
      <c r="CI31" s="44"/>
      <c r="CK31" s="44"/>
      <c r="CL31" s="44"/>
      <c r="CM31" s="44"/>
      <c r="CN31" s="44"/>
      <c r="CO31" s="44"/>
    </row>
    <row r="32" spans="1:93" x14ac:dyDescent="0.25">
      <c r="A32" s="35" t="s">
        <v>45</v>
      </c>
      <c r="B32" s="35" t="s">
        <v>79</v>
      </c>
      <c r="C32" s="35" t="s">
        <v>47</v>
      </c>
      <c r="D32" s="35" t="s">
        <v>48</v>
      </c>
      <c r="E32" s="35" t="s">
        <v>48</v>
      </c>
      <c r="F32" s="17" t="str">
        <f t="shared" si="28"/>
        <v>02-5012-01-00-00</v>
      </c>
      <c r="G32" s="37" t="s">
        <v>18</v>
      </c>
      <c r="H32" s="19">
        <f t="shared" si="29"/>
        <v>10000</v>
      </c>
      <c r="I32" s="19">
        <f t="shared" si="29"/>
        <v>10000</v>
      </c>
      <c r="J32" s="19">
        <f t="shared" si="29"/>
        <v>10000</v>
      </c>
      <c r="K32" s="19">
        <f t="shared" si="29"/>
        <v>10000</v>
      </c>
      <c r="L32" s="20">
        <v>40000</v>
      </c>
      <c r="M32" s="20">
        <v>50004</v>
      </c>
      <c r="N32" s="206" t="s">
        <v>3</v>
      </c>
      <c r="P32" s="195">
        <f>INDEX('Apportionment Bases'!M$6:M$33,MATCH('PC2'!$N32,'Apportionment Bases'!$A$6:$A$33,0))</f>
        <v>0</v>
      </c>
      <c r="Q32" s="195">
        <f>INDEX('Apportionment Bases'!N$6:N$33,MATCH('PC2'!$N32,'Apportionment Bases'!$A$6:$A$33,0))</f>
        <v>1</v>
      </c>
      <c r="R32" s="199"/>
      <c r="S32" s="195">
        <f>INDEX('Apportionment Bases'!$P$6:$P$33,MATCH('PC2'!N32,'Apportionment Bases'!$A$6:$A$33,0))</f>
        <v>0</v>
      </c>
      <c r="T32" s="195">
        <f>INDEX('Apportionment Bases'!Q$6:Q$33,MATCH('PC2'!$N32,'Apportionment Bases'!$A$6:$A$33,0))</f>
        <v>0</v>
      </c>
      <c r="V32" s="72">
        <f t="shared" si="43"/>
        <v>0</v>
      </c>
      <c r="W32" s="72">
        <f t="shared" si="44"/>
        <v>40000</v>
      </c>
      <c r="X32" s="66"/>
      <c r="Y32" s="72">
        <f t="shared" si="30"/>
        <v>0</v>
      </c>
      <c r="Z32" s="72">
        <f t="shared" si="31"/>
        <v>0</v>
      </c>
      <c r="AA32" s="48" t="str">
        <f t="shared" si="32"/>
        <v>TRUE</v>
      </c>
      <c r="AH32" s="300"/>
      <c r="AI32" s="72">
        <f t="shared" si="45"/>
        <v>0</v>
      </c>
      <c r="AJ32" s="72">
        <f t="shared" si="50"/>
        <v>11000</v>
      </c>
      <c r="AK32" s="74"/>
      <c r="AL32" s="72">
        <f t="shared" si="33"/>
        <v>0</v>
      </c>
      <c r="AM32" s="72">
        <f t="shared" si="34"/>
        <v>0</v>
      </c>
      <c r="AN32" s="301"/>
      <c r="AO32" s="72">
        <f t="shared" si="46"/>
        <v>0</v>
      </c>
      <c r="AP32" s="72">
        <f t="shared" si="47"/>
        <v>7796</v>
      </c>
      <c r="AQ32" s="74"/>
      <c r="AR32" s="72">
        <f t="shared" si="35"/>
        <v>0</v>
      </c>
      <c r="AS32" s="72">
        <f t="shared" si="36"/>
        <v>0</v>
      </c>
      <c r="AT32" s="301"/>
      <c r="AU32" s="72">
        <f t="shared" si="48"/>
        <v>0</v>
      </c>
      <c r="AV32" s="72">
        <f t="shared" si="49"/>
        <v>9564</v>
      </c>
      <c r="AW32" s="66"/>
      <c r="AX32" s="72">
        <f t="shared" si="37"/>
        <v>0</v>
      </c>
      <c r="AY32" s="72">
        <f t="shared" si="38"/>
        <v>0</v>
      </c>
      <c r="AZ32" s="301"/>
      <c r="BA32" s="72">
        <f t="shared" si="39"/>
        <v>0</v>
      </c>
      <c r="BB32" s="72">
        <f t="shared" si="40"/>
        <v>11640</v>
      </c>
      <c r="BC32" s="74"/>
      <c r="BD32" s="72">
        <f t="shared" si="41"/>
        <v>0</v>
      </c>
      <c r="BE32" s="72">
        <f t="shared" si="42"/>
        <v>0</v>
      </c>
      <c r="BF32" s="301"/>
      <c r="BG32" s="44"/>
      <c r="BH32" s="44"/>
      <c r="BI32" s="44"/>
      <c r="BJ32" s="44"/>
      <c r="BK32" s="44"/>
      <c r="BM32" s="44"/>
      <c r="BN32" s="44"/>
      <c r="BO32" s="44"/>
      <c r="BP32" s="44"/>
      <c r="BQ32" s="44"/>
      <c r="BS32" s="44"/>
      <c r="BT32" s="44"/>
      <c r="BU32" s="44"/>
      <c r="BV32" s="44"/>
      <c r="BW32" s="44"/>
      <c r="BY32" s="44"/>
      <c r="BZ32" s="44"/>
      <c r="CA32" s="44"/>
      <c r="CB32" s="44"/>
      <c r="CC32" s="44"/>
      <c r="CE32" s="44"/>
      <c r="CF32" s="44"/>
      <c r="CG32" s="44"/>
      <c r="CH32" s="44"/>
      <c r="CI32" s="44"/>
      <c r="CK32" s="44"/>
      <c r="CL32" s="44"/>
      <c r="CM32" s="44"/>
      <c r="CN32" s="44"/>
      <c r="CO32" s="44"/>
    </row>
    <row r="33" spans="1:93" x14ac:dyDescent="0.25">
      <c r="A33" s="35" t="s">
        <v>45</v>
      </c>
      <c r="B33" s="35" t="s">
        <v>80</v>
      </c>
      <c r="C33" s="35" t="s">
        <v>47</v>
      </c>
      <c r="D33" s="35" t="s">
        <v>48</v>
      </c>
      <c r="E33" s="35" t="s">
        <v>48</v>
      </c>
      <c r="F33" s="17" t="str">
        <f t="shared" si="28"/>
        <v>02-5013-01-00-00</v>
      </c>
      <c r="G33" s="37" t="s">
        <v>81</v>
      </c>
      <c r="H33" s="19">
        <f t="shared" si="29"/>
        <v>12000</v>
      </c>
      <c r="I33" s="19">
        <f t="shared" si="29"/>
        <v>12000</v>
      </c>
      <c r="J33" s="19">
        <f t="shared" si="29"/>
        <v>12000</v>
      </c>
      <c r="K33" s="19">
        <f t="shared" si="29"/>
        <v>12000</v>
      </c>
      <c r="L33" s="20">
        <v>48000</v>
      </c>
      <c r="M33" s="20">
        <v>50004</v>
      </c>
      <c r="N33" s="206" t="s">
        <v>705</v>
      </c>
      <c r="P33" s="195">
        <f>INDEX('Apportionment Bases'!M$6:M$33,MATCH('PC2'!$N33,'Apportionment Bases'!$A$6:$A$33,0))</f>
        <v>0</v>
      </c>
      <c r="Q33" s="195">
        <f>INDEX('Apportionment Bases'!N$6:N$33,MATCH('PC2'!$N33,'Apportionment Bases'!$A$6:$A$33,0))</f>
        <v>0</v>
      </c>
      <c r="R33" s="199"/>
      <c r="S33" s="195">
        <f>INDEX('Apportionment Bases'!$P$6:$P$33,MATCH('PC2'!N33,'Apportionment Bases'!$A$6:$A$33,0))</f>
        <v>0.5</v>
      </c>
      <c r="T33" s="195">
        <f>INDEX('Apportionment Bases'!Q$6:Q$33,MATCH('PC2'!$N33,'Apportionment Bases'!$A$6:$A$33,0))</f>
        <v>0.5</v>
      </c>
      <c r="V33" s="72">
        <f t="shared" si="43"/>
        <v>0</v>
      </c>
      <c r="W33" s="72">
        <f t="shared" si="44"/>
        <v>0</v>
      </c>
      <c r="X33" s="66"/>
      <c r="Y33" s="72">
        <f t="shared" si="30"/>
        <v>24000</v>
      </c>
      <c r="Z33" s="72">
        <f t="shared" si="31"/>
        <v>24000</v>
      </c>
      <c r="AA33" s="48" t="str">
        <f t="shared" si="32"/>
        <v>TRUE</v>
      </c>
      <c r="AH33" s="300"/>
      <c r="AI33" s="72">
        <f t="shared" si="45"/>
        <v>0</v>
      </c>
      <c r="AJ33" s="72">
        <f t="shared" si="50"/>
        <v>0</v>
      </c>
      <c r="AK33" s="74"/>
      <c r="AL33" s="72">
        <f t="shared" si="33"/>
        <v>7200</v>
      </c>
      <c r="AM33" s="72">
        <f t="shared" si="34"/>
        <v>7384.7999999999993</v>
      </c>
      <c r="AN33" s="301"/>
      <c r="AO33" s="72">
        <f t="shared" si="46"/>
        <v>0</v>
      </c>
      <c r="AP33" s="72">
        <f t="shared" si="47"/>
        <v>0</v>
      </c>
      <c r="AQ33" s="74"/>
      <c r="AR33" s="72">
        <f t="shared" si="35"/>
        <v>5188.8</v>
      </c>
      <c r="AS33" s="72">
        <f t="shared" si="36"/>
        <v>5539.2</v>
      </c>
      <c r="AT33" s="301"/>
      <c r="AU33" s="72">
        <f t="shared" si="48"/>
        <v>0</v>
      </c>
      <c r="AV33" s="72">
        <f t="shared" si="49"/>
        <v>0</v>
      </c>
      <c r="AW33" s="66"/>
      <c r="AX33" s="72">
        <f t="shared" si="37"/>
        <v>4800</v>
      </c>
      <c r="AY33" s="72">
        <f t="shared" si="38"/>
        <v>6921.5999999999995</v>
      </c>
      <c r="AZ33" s="301"/>
      <c r="BA33" s="72">
        <f t="shared" si="39"/>
        <v>0</v>
      </c>
      <c r="BB33" s="72">
        <f t="shared" si="40"/>
        <v>0</v>
      </c>
      <c r="BC33" s="74"/>
      <c r="BD33" s="72">
        <f t="shared" si="41"/>
        <v>6811.2</v>
      </c>
      <c r="BE33" s="72">
        <f t="shared" si="42"/>
        <v>4154.4000000000005</v>
      </c>
      <c r="BF33" s="301"/>
      <c r="BG33" s="44"/>
      <c r="BH33" s="44"/>
      <c r="BI33" s="44"/>
      <c r="BJ33" s="44"/>
      <c r="BK33" s="44"/>
      <c r="BM33" s="44"/>
      <c r="BN33" s="44"/>
      <c r="BO33" s="44"/>
      <c r="BP33" s="44"/>
      <c r="BQ33" s="44"/>
      <c r="BS33" s="44"/>
      <c r="BT33" s="44"/>
      <c r="BU33" s="44"/>
      <c r="BV33" s="44"/>
      <c r="BW33" s="44"/>
      <c r="BY33" s="44"/>
      <c r="BZ33" s="44"/>
      <c r="CA33" s="44"/>
      <c r="CB33" s="44"/>
      <c r="CC33" s="44"/>
      <c r="CE33" s="44"/>
      <c r="CF33" s="44"/>
      <c r="CG33" s="44"/>
      <c r="CH33" s="44"/>
      <c r="CI33" s="44"/>
      <c r="CK33" s="44"/>
      <c r="CL33" s="44"/>
      <c r="CM33" s="44"/>
      <c r="CN33" s="44"/>
      <c r="CO33" s="44"/>
    </row>
    <row r="34" spans="1:93" x14ac:dyDescent="0.25">
      <c r="A34" s="35" t="s">
        <v>45</v>
      </c>
      <c r="B34" s="35" t="s">
        <v>82</v>
      </c>
      <c r="C34" s="35" t="s">
        <v>47</v>
      </c>
      <c r="D34" s="35" t="s">
        <v>48</v>
      </c>
      <c r="E34" s="35" t="s">
        <v>48</v>
      </c>
      <c r="F34" s="17" t="str">
        <f t="shared" si="28"/>
        <v>02-5014-01-00-00</v>
      </c>
      <c r="G34" s="37" t="s">
        <v>19</v>
      </c>
      <c r="H34" s="19">
        <f t="shared" si="29"/>
        <v>1250</v>
      </c>
      <c r="I34" s="19">
        <f t="shared" si="29"/>
        <v>1250</v>
      </c>
      <c r="J34" s="19">
        <f t="shared" si="29"/>
        <v>1250</v>
      </c>
      <c r="K34" s="19">
        <f t="shared" si="29"/>
        <v>1250</v>
      </c>
      <c r="L34" s="20">
        <v>5000</v>
      </c>
      <c r="M34" s="20">
        <v>30004</v>
      </c>
      <c r="N34" s="206" t="s">
        <v>705</v>
      </c>
      <c r="P34" s="195">
        <f>INDEX('Apportionment Bases'!M$6:M$33,MATCH('PC2'!$N34,'Apportionment Bases'!$A$6:$A$33,0))</f>
        <v>0</v>
      </c>
      <c r="Q34" s="195">
        <f>INDEX('Apportionment Bases'!N$6:N$33,MATCH('PC2'!$N34,'Apportionment Bases'!$A$6:$A$33,0))</f>
        <v>0</v>
      </c>
      <c r="R34" s="199"/>
      <c r="S34" s="195">
        <f>INDEX('Apportionment Bases'!$P$6:$P$33,MATCH('PC2'!N34,'Apportionment Bases'!$A$6:$A$33,0))</f>
        <v>0.5</v>
      </c>
      <c r="T34" s="195">
        <f>INDEX('Apportionment Bases'!Q$6:Q$33,MATCH('PC2'!$N34,'Apportionment Bases'!$A$6:$A$33,0))</f>
        <v>0.5</v>
      </c>
      <c r="V34" s="72">
        <f t="shared" si="43"/>
        <v>0</v>
      </c>
      <c r="W34" s="72">
        <f t="shared" si="44"/>
        <v>0</v>
      </c>
      <c r="X34" s="66"/>
      <c r="Y34" s="72">
        <f t="shared" si="30"/>
        <v>2500</v>
      </c>
      <c r="Z34" s="72">
        <f t="shared" si="31"/>
        <v>2500</v>
      </c>
      <c r="AA34" s="48" t="str">
        <f t="shared" si="32"/>
        <v>TRUE</v>
      </c>
      <c r="AH34" s="300"/>
      <c r="AI34" s="72">
        <f t="shared" si="45"/>
        <v>0</v>
      </c>
      <c r="AJ34" s="72">
        <f t="shared" si="50"/>
        <v>0</v>
      </c>
      <c r="AK34" s="74"/>
      <c r="AL34" s="72">
        <f t="shared" si="33"/>
        <v>750</v>
      </c>
      <c r="AM34" s="72">
        <f t="shared" si="34"/>
        <v>769.24999999999989</v>
      </c>
      <c r="AN34" s="301"/>
      <c r="AO34" s="72">
        <f t="shared" si="46"/>
        <v>0</v>
      </c>
      <c r="AP34" s="72">
        <f t="shared" si="47"/>
        <v>0</v>
      </c>
      <c r="AQ34" s="74"/>
      <c r="AR34" s="72">
        <f t="shared" si="35"/>
        <v>540.5</v>
      </c>
      <c r="AS34" s="72">
        <f t="shared" si="36"/>
        <v>577</v>
      </c>
      <c r="AT34" s="301"/>
      <c r="AU34" s="72">
        <f t="shared" si="48"/>
        <v>0</v>
      </c>
      <c r="AV34" s="72">
        <f t="shared" si="49"/>
        <v>0</v>
      </c>
      <c r="AW34" s="66"/>
      <c r="AX34" s="72">
        <f t="shared" si="37"/>
        <v>500</v>
      </c>
      <c r="AY34" s="72">
        <f t="shared" si="38"/>
        <v>721</v>
      </c>
      <c r="AZ34" s="301"/>
      <c r="BA34" s="72">
        <f t="shared" si="39"/>
        <v>0</v>
      </c>
      <c r="BB34" s="72">
        <f t="shared" si="40"/>
        <v>0</v>
      </c>
      <c r="BC34" s="74"/>
      <c r="BD34" s="72">
        <f t="shared" si="41"/>
        <v>709.5</v>
      </c>
      <c r="BE34" s="72">
        <f t="shared" si="42"/>
        <v>432.75</v>
      </c>
      <c r="BF34" s="301"/>
      <c r="BG34" s="44"/>
      <c r="BH34" s="44"/>
      <c r="BI34" s="44"/>
      <c r="BJ34" s="44"/>
      <c r="BK34" s="44"/>
      <c r="BM34" s="44"/>
      <c r="BN34" s="44"/>
      <c r="BO34" s="44"/>
      <c r="BP34" s="44"/>
      <c r="BQ34" s="44"/>
      <c r="BS34" s="44"/>
      <c r="BT34" s="44"/>
      <c r="BU34" s="44"/>
      <c r="BV34" s="44"/>
      <c r="BW34" s="44"/>
      <c r="BY34" s="44"/>
      <c r="BZ34" s="44"/>
      <c r="CA34" s="44"/>
      <c r="CB34" s="44"/>
      <c r="CC34" s="44"/>
      <c r="CE34" s="44"/>
      <c r="CF34" s="44"/>
      <c r="CG34" s="44"/>
      <c r="CH34" s="44"/>
      <c r="CI34" s="44"/>
      <c r="CK34" s="44"/>
      <c r="CL34" s="44"/>
      <c r="CM34" s="44"/>
      <c r="CN34" s="44"/>
      <c r="CO34" s="44"/>
    </row>
    <row r="35" spans="1:93" x14ac:dyDescent="0.25">
      <c r="A35" s="35" t="s">
        <v>45</v>
      </c>
      <c r="B35" s="35" t="s">
        <v>82</v>
      </c>
      <c r="C35" s="35" t="s">
        <v>45</v>
      </c>
      <c r="D35" s="35" t="s">
        <v>48</v>
      </c>
      <c r="E35" s="35" t="s">
        <v>48</v>
      </c>
      <c r="F35" s="17" t="str">
        <f t="shared" si="28"/>
        <v>02-5014-02-00-00</v>
      </c>
      <c r="G35" s="36" t="s">
        <v>19</v>
      </c>
      <c r="H35" s="19">
        <f t="shared" si="29"/>
        <v>25000</v>
      </c>
      <c r="I35" s="19">
        <f t="shared" si="29"/>
        <v>25000</v>
      </c>
      <c r="J35" s="19">
        <f t="shared" si="29"/>
        <v>25000</v>
      </c>
      <c r="K35" s="19">
        <f t="shared" si="29"/>
        <v>25000</v>
      </c>
      <c r="L35" s="20">
        <v>100000</v>
      </c>
      <c r="M35" s="20">
        <v>0</v>
      </c>
      <c r="N35" s="206" t="s">
        <v>705</v>
      </c>
      <c r="P35" s="195">
        <f>INDEX('Apportionment Bases'!M$6:M$33,MATCH('PC2'!$N35,'Apportionment Bases'!$A$6:$A$33,0))</f>
        <v>0</v>
      </c>
      <c r="Q35" s="195">
        <f>INDEX('Apportionment Bases'!N$6:N$33,MATCH('PC2'!$N35,'Apportionment Bases'!$A$6:$A$33,0))</f>
        <v>0</v>
      </c>
      <c r="R35" s="199"/>
      <c r="S35" s="195">
        <f>INDEX('Apportionment Bases'!$P$6:$P$33,MATCH('PC2'!N35,'Apportionment Bases'!$A$6:$A$33,0))</f>
        <v>0.5</v>
      </c>
      <c r="T35" s="195">
        <f>INDEX('Apportionment Bases'!Q$6:Q$33,MATCH('PC2'!$N35,'Apportionment Bases'!$A$6:$A$33,0))</f>
        <v>0.5</v>
      </c>
      <c r="V35" s="72">
        <f t="shared" si="43"/>
        <v>0</v>
      </c>
      <c r="W35" s="72">
        <f t="shared" si="44"/>
        <v>0</v>
      </c>
      <c r="X35" s="66"/>
      <c r="Y35" s="72">
        <f t="shared" si="30"/>
        <v>50000</v>
      </c>
      <c r="Z35" s="72">
        <f t="shared" si="31"/>
        <v>50000</v>
      </c>
      <c r="AA35" s="48" t="str">
        <f t="shared" si="32"/>
        <v>TRUE</v>
      </c>
      <c r="AH35" s="300"/>
      <c r="AI35" s="72">
        <f t="shared" si="45"/>
        <v>0</v>
      </c>
      <c r="AJ35" s="72">
        <f t="shared" si="50"/>
        <v>0</v>
      </c>
      <c r="AK35" s="74"/>
      <c r="AL35" s="72">
        <f t="shared" si="33"/>
        <v>15000</v>
      </c>
      <c r="AM35" s="72">
        <f t="shared" si="34"/>
        <v>15384.999999999998</v>
      </c>
      <c r="AN35" s="301"/>
      <c r="AO35" s="72">
        <f t="shared" si="46"/>
        <v>0</v>
      </c>
      <c r="AP35" s="72">
        <f t="shared" si="47"/>
        <v>0</v>
      </c>
      <c r="AQ35" s="74"/>
      <c r="AR35" s="72">
        <f t="shared" si="35"/>
        <v>10810</v>
      </c>
      <c r="AS35" s="72">
        <f t="shared" si="36"/>
        <v>11540</v>
      </c>
      <c r="AT35" s="301"/>
      <c r="AU35" s="72">
        <f t="shared" si="48"/>
        <v>0</v>
      </c>
      <c r="AV35" s="72">
        <f t="shared" si="49"/>
        <v>0</v>
      </c>
      <c r="AW35" s="66"/>
      <c r="AX35" s="72">
        <f t="shared" si="37"/>
        <v>10000</v>
      </c>
      <c r="AY35" s="72">
        <f t="shared" si="38"/>
        <v>14420</v>
      </c>
      <c r="AZ35" s="301"/>
      <c r="BA35" s="72">
        <f t="shared" si="39"/>
        <v>0</v>
      </c>
      <c r="BB35" s="72">
        <f t="shared" si="40"/>
        <v>0</v>
      </c>
      <c r="BC35" s="74"/>
      <c r="BD35" s="72">
        <f t="shared" si="41"/>
        <v>14190</v>
      </c>
      <c r="BE35" s="72">
        <f t="shared" si="42"/>
        <v>8655</v>
      </c>
      <c r="BF35" s="301"/>
      <c r="BG35" s="44"/>
      <c r="BH35" s="44"/>
      <c r="BI35" s="44"/>
      <c r="BJ35" s="44"/>
      <c r="BK35" s="44"/>
      <c r="BM35" s="44"/>
      <c r="BN35" s="44"/>
      <c r="BO35" s="44"/>
      <c r="BP35" s="44"/>
      <c r="BQ35" s="44"/>
      <c r="BS35" s="44"/>
      <c r="BT35" s="44"/>
      <c r="BU35" s="44"/>
      <c r="BV35" s="44"/>
      <c r="BW35" s="44"/>
      <c r="BY35" s="44"/>
      <c r="BZ35" s="44"/>
      <c r="CA35" s="44"/>
      <c r="CB35" s="44"/>
      <c r="CC35" s="44"/>
      <c r="CE35" s="44"/>
      <c r="CF35" s="44"/>
      <c r="CG35" s="44"/>
      <c r="CH35" s="44"/>
      <c r="CI35" s="44"/>
      <c r="CK35" s="44"/>
      <c r="CL35" s="44"/>
      <c r="CM35" s="44"/>
      <c r="CN35" s="44"/>
      <c r="CO35" s="44"/>
    </row>
    <row r="36" spans="1:93" x14ac:dyDescent="0.25">
      <c r="A36" s="35" t="s">
        <v>45</v>
      </c>
      <c r="B36" s="35" t="s">
        <v>83</v>
      </c>
      <c r="C36" s="35" t="s">
        <v>47</v>
      </c>
      <c r="D36" s="35" t="s">
        <v>48</v>
      </c>
      <c r="E36" s="35" t="s">
        <v>48</v>
      </c>
      <c r="F36" s="17" t="str">
        <f t="shared" si="28"/>
        <v>02-5015-01-00-00</v>
      </c>
      <c r="G36" s="36" t="s">
        <v>20</v>
      </c>
      <c r="H36" s="19">
        <f t="shared" si="29"/>
        <v>1250</v>
      </c>
      <c r="I36" s="19">
        <f t="shared" si="29"/>
        <v>1250</v>
      </c>
      <c r="J36" s="19">
        <f t="shared" si="29"/>
        <v>1250</v>
      </c>
      <c r="K36" s="19">
        <f t="shared" si="29"/>
        <v>1250</v>
      </c>
      <c r="L36" s="20">
        <v>5000</v>
      </c>
      <c r="M36" s="20">
        <v>50004</v>
      </c>
      <c r="N36" s="206" t="s">
        <v>705</v>
      </c>
      <c r="P36" s="195">
        <f>INDEX('Apportionment Bases'!M$6:M$33,MATCH('PC2'!$N36,'Apportionment Bases'!$A$6:$A$33,0))</f>
        <v>0</v>
      </c>
      <c r="Q36" s="195">
        <f>INDEX('Apportionment Bases'!N$6:N$33,MATCH('PC2'!$N36,'Apportionment Bases'!$A$6:$A$33,0))</f>
        <v>0</v>
      </c>
      <c r="R36" s="199"/>
      <c r="S36" s="195">
        <f>INDEX('Apportionment Bases'!$P$6:$P$33,MATCH('PC2'!N36,'Apportionment Bases'!$A$6:$A$33,0))</f>
        <v>0.5</v>
      </c>
      <c r="T36" s="195">
        <f>INDEX('Apportionment Bases'!Q$6:Q$33,MATCH('PC2'!$N36,'Apportionment Bases'!$A$6:$A$33,0))</f>
        <v>0.5</v>
      </c>
      <c r="V36" s="72">
        <f t="shared" si="43"/>
        <v>0</v>
      </c>
      <c r="W36" s="72">
        <f t="shared" si="44"/>
        <v>0</v>
      </c>
      <c r="X36" s="66"/>
      <c r="Y36" s="72">
        <f t="shared" si="30"/>
        <v>2500</v>
      </c>
      <c r="Z36" s="72">
        <f t="shared" si="31"/>
        <v>2500</v>
      </c>
      <c r="AA36" s="48" t="str">
        <f t="shared" si="32"/>
        <v>TRUE</v>
      </c>
      <c r="AH36" s="300"/>
      <c r="AI36" s="72">
        <f t="shared" si="45"/>
        <v>0</v>
      </c>
      <c r="AJ36" s="72">
        <f t="shared" si="50"/>
        <v>0</v>
      </c>
      <c r="AK36" s="74"/>
      <c r="AL36" s="72">
        <f t="shared" si="33"/>
        <v>750</v>
      </c>
      <c r="AM36" s="72">
        <f t="shared" si="34"/>
        <v>769.24999999999989</v>
      </c>
      <c r="AN36" s="301"/>
      <c r="AO36" s="72">
        <f t="shared" si="46"/>
        <v>0</v>
      </c>
      <c r="AP36" s="72">
        <f t="shared" si="47"/>
        <v>0</v>
      </c>
      <c r="AQ36" s="74"/>
      <c r="AR36" s="72">
        <f t="shared" si="35"/>
        <v>540.5</v>
      </c>
      <c r="AS36" s="72">
        <f t="shared" si="36"/>
        <v>577</v>
      </c>
      <c r="AT36" s="301"/>
      <c r="AU36" s="72">
        <f t="shared" si="48"/>
        <v>0</v>
      </c>
      <c r="AV36" s="72">
        <f t="shared" si="49"/>
        <v>0</v>
      </c>
      <c r="AW36" s="66"/>
      <c r="AX36" s="72">
        <f t="shared" si="37"/>
        <v>500</v>
      </c>
      <c r="AY36" s="72">
        <f t="shared" si="38"/>
        <v>721</v>
      </c>
      <c r="AZ36" s="301"/>
      <c r="BA36" s="72">
        <f t="shared" si="39"/>
        <v>0</v>
      </c>
      <c r="BB36" s="72">
        <f t="shared" si="40"/>
        <v>0</v>
      </c>
      <c r="BC36" s="74"/>
      <c r="BD36" s="72">
        <f t="shared" si="41"/>
        <v>709.5</v>
      </c>
      <c r="BE36" s="72">
        <f t="shared" si="42"/>
        <v>432.75</v>
      </c>
      <c r="BF36" s="301"/>
      <c r="BG36" s="44"/>
      <c r="BH36" s="44"/>
      <c r="BI36" s="44"/>
      <c r="BJ36" s="44"/>
      <c r="BK36" s="44"/>
      <c r="BM36" s="44"/>
      <c r="BN36" s="44"/>
      <c r="BO36" s="44"/>
      <c r="BP36" s="44"/>
      <c r="BQ36" s="44"/>
      <c r="BS36" s="44"/>
      <c r="BT36" s="44"/>
      <c r="BU36" s="44"/>
      <c r="BV36" s="44"/>
      <c r="BW36" s="44"/>
      <c r="BY36" s="44"/>
      <c r="BZ36" s="44"/>
      <c r="CA36" s="44"/>
      <c r="CB36" s="44"/>
      <c r="CC36" s="44"/>
      <c r="CE36" s="44"/>
      <c r="CF36" s="44"/>
      <c r="CG36" s="44"/>
      <c r="CH36" s="44"/>
      <c r="CI36" s="44"/>
      <c r="CK36" s="44"/>
      <c r="CL36" s="44"/>
      <c r="CM36" s="44"/>
      <c r="CN36" s="44"/>
      <c r="CO36" s="44"/>
    </row>
    <row r="37" spans="1:93" x14ac:dyDescent="0.25">
      <c r="A37" s="35" t="s">
        <v>45</v>
      </c>
      <c r="B37" s="35" t="s">
        <v>83</v>
      </c>
      <c r="C37" s="35" t="s">
        <v>45</v>
      </c>
      <c r="D37" s="35" t="s">
        <v>48</v>
      </c>
      <c r="E37" s="35" t="s">
        <v>48</v>
      </c>
      <c r="F37" s="17" t="str">
        <f t="shared" si="28"/>
        <v>02-5015-02-00-00</v>
      </c>
      <c r="G37" s="36" t="s">
        <v>20</v>
      </c>
      <c r="H37" s="19">
        <f t="shared" si="29"/>
        <v>3250</v>
      </c>
      <c r="I37" s="19">
        <f t="shared" si="29"/>
        <v>3250</v>
      </c>
      <c r="J37" s="19">
        <f t="shared" si="29"/>
        <v>3250</v>
      </c>
      <c r="K37" s="19">
        <f t="shared" si="29"/>
        <v>3250</v>
      </c>
      <c r="L37" s="20">
        <v>13000</v>
      </c>
      <c r="M37" s="20">
        <v>9000</v>
      </c>
      <c r="N37" s="206" t="s">
        <v>705</v>
      </c>
      <c r="P37" s="195">
        <f>INDEX('Apportionment Bases'!M$6:M$33,MATCH('PC2'!$N37,'Apportionment Bases'!$A$6:$A$33,0))</f>
        <v>0</v>
      </c>
      <c r="Q37" s="195">
        <f>INDEX('Apportionment Bases'!N$6:N$33,MATCH('PC2'!$N37,'Apportionment Bases'!$A$6:$A$33,0))</f>
        <v>0</v>
      </c>
      <c r="R37" s="199"/>
      <c r="S37" s="195">
        <f>INDEX('Apportionment Bases'!$P$6:$P$33,MATCH('PC2'!N37,'Apportionment Bases'!$A$6:$A$33,0))</f>
        <v>0.5</v>
      </c>
      <c r="T37" s="195">
        <f>INDEX('Apportionment Bases'!Q$6:Q$33,MATCH('PC2'!$N37,'Apportionment Bases'!$A$6:$A$33,0))</f>
        <v>0.5</v>
      </c>
      <c r="V37" s="72">
        <f t="shared" si="43"/>
        <v>0</v>
      </c>
      <c r="W37" s="72">
        <f t="shared" si="44"/>
        <v>0</v>
      </c>
      <c r="X37" s="66"/>
      <c r="Y37" s="72">
        <f t="shared" si="30"/>
        <v>6500</v>
      </c>
      <c r="Z37" s="72">
        <f t="shared" si="31"/>
        <v>6500</v>
      </c>
      <c r="AA37" s="48" t="str">
        <f t="shared" si="32"/>
        <v>TRUE</v>
      </c>
      <c r="AH37" s="300"/>
      <c r="AI37" s="72">
        <f t="shared" si="45"/>
        <v>0</v>
      </c>
      <c r="AJ37" s="72">
        <f t="shared" si="50"/>
        <v>0</v>
      </c>
      <c r="AK37" s="74"/>
      <c r="AL37" s="72">
        <f t="shared" si="33"/>
        <v>1950</v>
      </c>
      <c r="AM37" s="72">
        <f t="shared" si="34"/>
        <v>2000.0499999999997</v>
      </c>
      <c r="AN37" s="301"/>
      <c r="AO37" s="72">
        <f t="shared" si="46"/>
        <v>0</v>
      </c>
      <c r="AP37" s="72">
        <f t="shared" si="47"/>
        <v>0</v>
      </c>
      <c r="AQ37" s="74"/>
      <c r="AR37" s="72">
        <f t="shared" si="35"/>
        <v>1405.3</v>
      </c>
      <c r="AS37" s="72">
        <f t="shared" si="36"/>
        <v>1500.2</v>
      </c>
      <c r="AT37" s="301"/>
      <c r="AU37" s="72">
        <f t="shared" si="48"/>
        <v>0</v>
      </c>
      <c r="AV37" s="72">
        <f t="shared" si="49"/>
        <v>0</v>
      </c>
      <c r="AW37" s="66"/>
      <c r="AX37" s="72">
        <f t="shared" si="37"/>
        <v>1300</v>
      </c>
      <c r="AY37" s="72">
        <f t="shared" si="38"/>
        <v>1874.6</v>
      </c>
      <c r="AZ37" s="301"/>
      <c r="BA37" s="72">
        <f t="shared" si="39"/>
        <v>0</v>
      </c>
      <c r="BB37" s="72">
        <f t="shared" si="40"/>
        <v>0</v>
      </c>
      <c r="BC37" s="74"/>
      <c r="BD37" s="72">
        <f t="shared" si="41"/>
        <v>1844.7</v>
      </c>
      <c r="BE37" s="72">
        <f t="shared" si="42"/>
        <v>1125.1500000000001</v>
      </c>
      <c r="BF37" s="301"/>
      <c r="BG37" s="44"/>
      <c r="BH37" s="44"/>
      <c r="BI37" s="44"/>
      <c r="BJ37" s="44"/>
      <c r="BK37" s="44"/>
      <c r="BM37" s="44"/>
      <c r="BN37" s="44"/>
      <c r="BO37" s="44"/>
      <c r="BP37" s="44"/>
      <c r="BQ37" s="44"/>
      <c r="BS37" s="44"/>
      <c r="BT37" s="44"/>
      <c r="BU37" s="44"/>
      <c r="BV37" s="44"/>
      <c r="BW37" s="44"/>
      <c r="BY37" s="44"/>
      <c r="BZ37" s="44"/>
      <c r="CA37" s="44"/>
      <c r="CB37" s="44"/>
      <c r="CC37" s="44"/>
      <c r="CE37" s="44"/>
      <c r="CF37" s="44"/>
      <c r="CG37" s="44"/>
      <c r="CH37" s="44"/>
      <c r="CI37" s="44"/>
      <c r="CK37" s="44"/>
      <c r="CL37" s="44"/>
      <c r="CM37" s="44"/>
      <c r="CN37" s="44"/>
      <c r="CO37" s="44"/>
    </row>
    <row r="38" spans="1:93" x14ac:dyDescent="0.25">
      <c r="A38" s="35" t="s">
        <v>45</v>
      </c>
      <c r="B38" s="35" t="s">
        <v>84</v>
      </c>
      <c r="C38" s="35" t="s">
        <v>47</v>
      </c>
      <c r="D38" s="35" t="s">
        <v>85</v>
      </c>
      <c r="E38" s="35" t="s">
        <v>48</v>
      </c>
      <c r="F38" s="17" t="str">
        <f t="shared" si="28"/>
        <v>02-5017-01-03-00</v>
      </c>
      <c r="G38" s="36" t="s">
        <v>21</v>
      </c>
      <c r="H38" s="19">
        <f t="shared" si="29"/>
        <v>300</v>
      </c>
      <c r="I38" s="19">
        <f t="shared" si="29"/>
        <v>300</v>
      </c>
      <c r="J38" s="19">
        <f t="shared" si="29"/>
        <v>300</v>
      </c>
      <c r="K38" s="19">
        <f t="shared" si="29"/>
        <v>300</v>
      </c>
      <c r="L38" s="20">
        <v>1200</v>
      </c>
      <c r="M38" s="20">
        <v>4996</v>
      </c>
      <c r="N38" s="206" t="s">
        <v>705</v>
      </c>
      <c r="P38" s="195">
        <f>INDEX('Apportionment Bases'!M$6:M$33,MATCH('PC2'!$N38,'Apportionment Bases'!$A$6:$A$33,0))</f>
        <v>0</v>
      </c>
      <c r="Q38" s="195">
        <f>INDEX('Apportionment Bases'!N$6:N$33,MATCH('PC2'!$N38,'Apportionment Bases'!$A$6:$A$33,0))</f>
        <v>0</v>
      </c>
      <c r="R38" s="199"/>
      <c r="S38" s="195">
        <f>INDEX('Apportionment Bases'!$P$6:$P$33,MATCH('PC2'!N38,'Apportionment Bases'!$A$6:$A$33,0))</f>
        <v>0.5</v>
      </c>
      <c r="T38" s="195">
        <f>INDEX('Apportionment Bases'!Q$6:Q$33,MATCH('PC2'!$N38,'Apportionment Bases'!$A$6:$A$33,0))</f>
        <v>0.5</v>
      </c>
      <c r="V38" s="72">
        <f t="shared" si="43"/>
        <v>0</v>
      </c>
      <c r="W38" s="72">
        <f t="shared" si="44"/>
        <v>0</v>
      </c>
      <c r="X38" s="66"/>
      <c r="Y38" s="72">
        <f t="shared" si="30"/>
        <v>600</v>
      </c>
      <c r="Z38" s="72">
        <f t="shared" si="31"/>
        <v>600</v>
      </c>
      <c r="AA38" s="48" t="str">
        <f t="shared" si="32"/>
        <v>TRUE</v>
      </c>
      <c r="AH38" s="300"/>
      <c r="AI38" s="72">
        <f t="shared" si="45"/>
        <v>0</v>
      </c>
      <c r="AJ38" s="72">
        <f t="shared" si="50"/>
        <v>0</v>
      </c>
      <c r="AK38" s="74"/>
      <c r="AL38" s="72">
        <f t="shared" si="33"/>
        <v>180</v>
      </c>
      <c r="AM38" s="72">
        <f t="shared" si="34"/>
        <v>184.61999999999998</v>
      </c>
      <c r="AN38" s="301"/>
      <c r="AO38" s="72">
        <f t="shared" si="46"/>
        <v>0</v>
      </c>
      <c r="AP38" s="72">
        <f t="shared" si="47"/>
        <v>0</v>
      </c>
      <c r="AQ38" s="74"/>
      <c r="AR38" s="72">
        <f t="shared" si="35"/>
        <v>129.72</v>
      </c>
      <c r="AS38" s="72">
        <f t="shared" si="36"/>
        <v>138.47999999999999</v>
      </c>
      <c r="AT38" s="301"/>
      <c r="AU38" s="72">
        <f t="shared" si="48"/>
        <v>0</v>
      </c>
      <c r="AV38" s="72">
        <f t="shared" si="49"/>
        <v>0</v>
      </c>
      <c r="AW38" s="66"/>
      <c r="AX38" s="72">
        <f t="shared" si="37"/>
        <v>120</v>
      </c>
      <c r="AY38" s="72">
        <f t="shared" si="38"/>
        <v>173.04</v>
      </c>
      <c r="AZ38" s="301"/>
      <c r="BA38" s="72">
        <f t="shared" si="39"/>
        <v>0</v>
      </c>
      <c r="BB38" s="72">
        <f t="shared" si="40"/>
        <v>0</v>
      </c>
      <c r="BC38" s="74"/>
      <c r="BD38" s="72">
        <f t="shared" si="41"/>
        <v>170.28</v>
      </c>
      <c r="BE38" s="72">
        <f t="shared" si="42"/>
        <v>103.86</v>
      </c>
      <c r="BF38" s="301"/>
      <c r="BG38" s="44"/>
      <c r="BH38" s="44"/>
      <c r="BI38" s="44"/>
      <c r="BJ38" s="44"/>
      <c r="BK38" s="44"/>
      <c r="BM38" s="44"/>
      <c r="BN38" s="44"/>
      <c r="BO38" s="44"/>
      <c r="BP38" s="44"/>
      <c r="BQ38" s="44"/>
      <c r="BS38" s="44"/>
      <c r="BT38" s="44"/>
      <c r="BU38" s="44"/>
      <c r="BV38" s="44"/>
      <c r="BW38" s="44"/>
      <c r="BY38" s="44"/>
      <c r="BZ38" s="44"/>
      <c r="CA38" s="44"/>
      <c r="CB38" s="44"/>
      <c r="CC38" s="44"/>
      <c r="CE38" s="44"/>
      <c r="CF38" s="44"/>
      <c r="CG38" s="44"/>
      <c r="CH38" s="44"/>
      <c r="CI38" s="44"/>
      <c r="CK38" s="44"/>
      <c r="CL38" s="44"/>
      <c r="CM38" s="44"/>
      <c r="CN38" s="44"/>
      <c r="CO38" s="44"/>
    </row>
    <row r="39" spans="1:93" x14ac:dyDescent="0.25">
      <c r="A39" s="35" t="s">
        <v>45</v>
      </c>
      <c r="B39" s="35" t="s">
        <v>86</v>
      </c>
      <c r="C39" s="35" t="s">
        <v>47</v>
      </c>
      <c r="D39" s="35" t="s">
        <v>48</v>
      </c>
      <c r="E39" s="35" t="s">
        <v>48</v>
      </c>
      <c r="F39" s="17" t="str">
        <f t="shared" si="28"/>
        <v>02-5019-01-00-00</v>
      </c>
      <c r="G39" s="37" t="s">
        <v>87</v>
      </c>
      <c r="H39" s="19">
        <f t="shared" si="29"/>
        <v>23750</v>
      </c>
      <c r="I39" s="19">
        <f t="shared" si="29"/>
        <v>23750</v>
      </c>
      <c r="J39" s="19">
        <f t="shared" si="29"/>
        <v>23750</v>
      </c>
      <c r="K39" s="19">
        <f t="shared" si="29"/>
        <v>23750</v>
      </c>
      <c r="L39" s="20">
        <v>95000</v>
      </c>
      <c r="M39" s="20">
        <v>115004</v>
      </c>
      <c r="N39" s="206" t="s">
        <v>705</v>
      </c>
      <c r="P39" s="195">
        <f>INDEX('Apportionment Bases'!M$6:M$33,MATCH('PC2'!$N39,'Apportionment Bases'!$A$6:$A$33,0))</f>
        <v>0</v>
      </c>
      <c r="Q39" s="195">
        <f>INDEX('Apportionment Bases'!N$6:N$33,MATCH('PC2'!$N39,'Apportionment Bases'!$A$6:$A$33,0))</f>
        <v>0</v>
      </c>
      <c r="R39" s="199"/>
      <c r="S39" s="195">
        <f>INDEX('Apportionment Bases'!$P$6:$P$33,MATCH('PC2'!N39,'Apportionment Bases'!$A$6:$A$33,0))</f>
        <v>0.5</v>
      </c>
      <c r="T39" s="195">
        <f>INDEX('Apportionment Bases'!Q$6:Q$33,MATCH('PC2'!$N39,'Apportionment Bases'!$A$6:$A$33,0))</f>
        <v>0.5</v>
      </c>
      <c r="V39" s="72">
        <f t="shared" si="43"/>
        <v>0</v>
      </c>
      <c r="W39" s="72">
        <f t="shared" si="44"/>
        <v>0</v>
      </c>
      <c r="X39" s="66"/>
      <c r="Y39" s="72">
        <f t="shared" si="30"/>
        <v>47500</v>
      </c>
      <c r="Z39" s="72">
        <f t="shared" si="31"/>
        <v>47500</v>
      </c>
      <c r="AA39" s="48" t="str">
        <f t="shared" si="32"/>
        <v>TRUE</v>
      </c>
      <c r="AH39" s="300"/>
      <c r="AI39" s="72">
        <f t="shared" si="45"/>
        <v>0</v>
      </c>
      <c r="AJ39" s="72">
        <f t="shared" si="50"/>
        <v>0</v>
      </c>
      <c r="AK39" s="74"/>
      <c r="AL39" s="72">
        <f t="shared" si="33"/>
        <v>14250</v>
      </c>
      <c r="AM39" s="72">
        <f t="shared" si="34"/>
        <v>14615.749999999998</v>
      </c>
      <c r="AN39" s="301"/>
      <c r="AO39" s="72">
        <f t="shared" si="46"/>
        <v>0</v>
      </c>
      <c r="AP39" s="72">
        <f t="shared" si="47"/>
        <v>0</v>
      </c>
      <c r="AQ39" s="74"/>
      <c r="AR39" s="72">
        <f t="shared" si="35"/>
        <v>10269.5</v>
      </c>
      <c r="AS39" s="72">
        <f t="shared" si="36"/>
        <v>10963</v>
      </c>
      <c r="AT39" s="301"/>
      <c r="AU39" s="72">
        <f t="shared" si="48"/>
        <v>0</v>
      </c>
      <c r="AV39" s="72">
        <f t="shared" si="49"/>
        <v>0</v>
      </c>
      <c r="AW39" s="66"/>
      <c r="AX39" s="72">
        <f t="shared" si="37"/>
        <v>9500</v>
      </c>
      <c r="AY39" s="72">
        <f t="shared" si="38"/>
        <v>13699</v>
      </c>
      <c r="AZ39" s="301"/>
      <c r="BA39" s="72">
        <f t="shared" si="39"/>
        <v>0</v>
      </c>
      <c r="BB39" s="72">
        <f t="shared" si="40"/>
        <v>0</v>
      </c>
      <c r="BC39" s="74"/>
      <c r="BD39" s="72">
        <f t="shared" si="41"/>
        <v>13480.5</v>
      </c>
      <c r="BE39" s="72">
        <f t="shared" si="42"/>
        <v>8222.25</v>
      </c>
      <c r="BF39" s="301"/>
      <c r="BG39" s="44"/>
      <c r="BH39" s="44"/>
      <c r="BI39" s="44"/>
      <c r="BJ39" s="44"/>
      <c r="BK39" s="44"/>
      <c r="BM39" s="44"/>
      <c r="BN39" s="44"/>
      <c r="BO39" s="44"/>
      <c r="BP39" s="44"/>
      <c r="BQ39" s="44"/>
      <c r="BS39" s="44"/>
      <c r="BT39" s="44"/>
      <c r="BU39" s="44"/>
      <c r="BV39" s="44"/>
      <c r="BW39" s="44"/>
      <c r="BY39" s="44"/>
      <c r="BZ39" s="44"/>
      <c r="CA39" s="44"/>
      <c r="CB39" s="44"/>
      <c r="CC39" s="44"/>
      <c r="CE39" s="44"/>
      <c r="CF39" s="44"/>
      <c r="CG39" s="44"/>
      <c r="CH39" s="44"/>
      <c r="CI39" s="44"/>
      <c r="CK39" s="44"/>
      <c r="CL39" s="44"/>
      <c r="CM39" s="44"/>
      <c r="CN39" s="44"/>
      <c r="CO39" s="44"/>
    </row>
    <row r="40" spans="1:93" x14ac:dyDescent="0.25">
      <c r="A40" s="35" t="s">
        <v>45</v>
      </c>
      <c r="B40" s="35" t="s">
        <v>88</v>
      </c>
      <c r="C40" s="35" t="s">
        <v>47</v>
      </c>
      <c r="D40" s="35" t="s">
        <v>48</v>
      </c>
      <c r="E40" s="35" t="s">
        <v>48</v>
      </c>
      <c r="F40" s="17" t="str">
        <f t="shared" si="28"/>
        <v>02-5021-01-00-00</v>
      </c>
      <c r="G40" s="36" t="s">
        <v>89</v>
      </c>
      <c r="H40" s="19">
        <f t="shared" si="29"/>
        <v>2000</v>
      </c>
      <c r="I40" s="19">
        <f t="shared" si="29"/>
        <v>2000</v>
      </c>
      <c r="J40" s="19">
        <f t="shared" si="29"/>
        <v>2000</v>
      </c>
      <c r="K40" s="19">
        <f t="shared" si="29"/>
        <v>2000</v>
      </c>
      <c r="L40" s="20">
        <v>8000</v>
      </c>
      <c r="M40" s="20">
        <v>8004</v>
      </c>
      <c r="N40" s="206" t="s">
        <v>705</v>
      </c>
      <c r="P40" s="195">
        <f>INDEX('Apportionment Bases'!M$6:M$33,MATCH('PC2'!$N40,'Apportionment Bases'!$A$6:$A$33,0))</f>
        <v>0</v>
      </c>
      <c r="Q40" s="195">
        <f>INDEX('Apportionment Bases'!N$6:N$33,MATCH('PC2'!$N40,'Apportionment Bases'!$A$6:$A$33,0))</f>
        <v>0</v>
      </c>
      <c r="R40" s="199"/>
      <c r="S40" s="195">
        <f>INDEX('Apportionment Bases'!$P$6:$P$33,MATCH('PC2'!N40,'Apportionment Bases'!$A$6:$A$33,0))</f>
        <v>0.5</v>
      </c>
      <c r="T40" s="195">
        <f>INDEX('Apportionment Bases'!Q$6:Q$33,MATCH('PC2'!$N40,'Apportionment Bases'!$A$6:$A$33,0))</f>
        <v>0.5</v>
      </c>
      <c r="V40" s="72">
        <f t="shared" si="43"/>
        <v>0</v>
      </c>
      <c r="W40" s="72">
        <f t="shared" si="44"/>
        <v>0</v>
      </c>
      <c r="X40" s="66"/>
      <c r="Y40" s="72">
        <f t="shared" si="30"/>
        <v>4000</v>
      </c>
      <c r="Z40" s="72">
        <f t="shared" si="31"/>
        <v>4000</v>
      </c>
      <c r="AA40" s="48" t="str">
        <f t="shared" si="32"/>
        <v>TRUE</v>
      </c>
      <c r="AH40" s="300"/>
      <c r="AI40" s="72">
        <f t="shared" si="45"/>
        <v>0</v>
      </c>
      <c r="AJ40" s="72">
        <f t="shared" si="50"/>
        <v>0</v>
      </c>
      <c r="AK40" s="74"/>
      <c r="AL40" s="72">
        <f t="shared" si="33"/>
        <v>1200</v>
      </c>
      <c r="AM40" s="72">
        <f t="shared" si="34"/>
        <v>1230.8</v>
      </c>
      <c r="AN40" s="301"/>
      <c r="AO40" s="72">
        <f t="shared" si="46"/>
        <v>0</v>
      </c>
      <c r="AP40" s="72">
        <f t="shared" si="47"/>
        <v>0</v>
      </c>
      <c r="AQ40" s="74"/>
      <c r="AR40" s="72">
        <f t="shared" si="35"/>
        <v>864.80000000000007</v>
      </c>
      <c r="AS40" s="72">
        <f t="shared" si="36"/>
        <v>923.2</v>
      </c>
      <c r="AT40" s="301"/>
      <c r="AU40" s="72">
        <f t="shared" si="48"/>
        <v>0</v>
      </c>
      <c r="AV40" s="72">
        <f t="shared" si="49"/>
        <v>0</v>
      </c>
      <c r="AW40" s="66"/>
      <c r="AX40" s="72">
        <f t="shared" si="37"/>
        <v>800</v>
      </c>
      <c r="AY40" s="72">
        <f t="shared" si="38"/>
        <v>1153.5999999999999</v>
      </c>
      <c r="AZ40" s="301"/>
      <c r="BA40" s="72">
        <f t="shared" si="39"/>
        <v>0</v>
      </c>
      <c r="BB40" s="72">
        <f t="shared" si="40"/>
        <v>0</v>
      </c>
      <c r="BC40" s="74"/>
      <c r="BD40" s="72">
        <f t="shared" si="41"/>
        <v>1135.2</v>
      </c>
      <c r="BE40" s="72">
        <f t="shared" si="42"/>
        <v>692.4</v>
      </c>
      <c r="BF40" s="301"/>
      <c r="BG40" s="44"/>
      <c r="BH40" s="44"/>
      <c r="BI40" s="44"/>
      <c r="BJ40" s="44"/>
      <c r="BK40" s="44"/>
      <c r="BM40" s="44"/>
      <c r="BN40" s="44"/>
      <c r="BO40" s="44"/>
      <c r="BP40" s="44"/>
      <c r="BQ40" s="44"/>
      <c r="BS40" s="44"/>
      <c r="BT40" s="44"/>
      <c r="BU40" s="44"/>
      <c r="BV40" s="44"/>
      <c r="BW40" s="44"/>
      <c r="BY40" s="44"/>
      <c r="BZ40" s="44"/>
      <c r="CA40" s="44"/>
      <c r="CB40" s="44"/>
      <c r="CC40" s="44"/>
      <c r="CE40" s="44"/>
      <c r="CF40" s="44"/>
      <c r="CG40" s="44"/>
      <c r="CH40" s="44"/>
      <c r="CI40" s="44"/>
      <c r="CK40" s="44"/>
      <c r="CL40" s="44"/>
      <c r="CM40" s="44"/>
      <c r="CN40" s="44"/>
      <c r="CO40" s="44"/>
    </row>
    <row r="41" spans="1:93" x14ac:dyDescent="0.25">
      <c r="A41" s="35" t="s">
        <v>45</v>
      </c>
      <c r="B41" s="35" t="s">
        <v>88</v>
      </c>
      <c r="C41" s="35" t="s">
        <v>45</v>
      </c>
      <c r="D41" s="35" t="s">
        <v>48</v>
      </c>
      <c r="E41" s="35" t="s">
        <v>48</v>
      </c>
      <c r="F41" s="17" t="str">
        <f t="shared" si="28"/>
        <v>02-5021-02-00-00</v>
      </c>
      <c r="G41" s="37" t="s">
        <v>89</v>
      </c>
      <c r="H41" s="19">
        <f t="shared" si="29"/>
        <v>0</v>
      </c>
      <c r="I41" s="19">
        <f t="shared" si="29"/>
        <v>0</v>
      </c>
      <c r="J41" s="19">
        <f t="shared" si="29"/>
        <v>0</v>
      </c>
      <c r="K41" s="19">
        <f t="shared" si="29"/>
        <v>0</v>
      </c>
      <c r="L41" s="20">
        <v>0</v>
      </c>
      <c r="M41" s="20">
        <v>0</v>
      </c>
      <c r="N41" s="206" t="s">
        <v>705</v>
      </c>
      <c r="P41" s="195">
        <f>INDEX('Apportionment Bases'!M$6:M$33,MATCH('PC2'!$N41,'Apportionment Bases'!$A$6:$A$33,0))</f>
        <v>0</v>
      </c>
      <c r="Q41" s="195">
        <f>INDEX('Apportionment Bases'!N$6:N$33,MATCH('PC2'!$N41,'Apportionment Bases'!$A$6:$A$33,0))</f>
        <v>0</v>
      </c>
      <c r="R41" s="199"/>
      <c r="S41" s="195">
        <f>INDEX('Apportionment Bases'!$P$6:$P$33,MATCH('PC2'!N41,'Apportionment Bases'!$A$6:$A$33,0))</f>
        <v>0.5</v>
      </c>
      <c r="T41" s="195">
        <f>INDEX('Apportionment Bases'!Q$6:Q$33,MATCH('PC2'!$N41,'Apportionment Bases'!$A$6:$A$33,0))</f>
        <v>0.5</v>
      </c>
      <c r="V41" s="72">
        <f t="shared" si="43"/>
        <v>0</v>
      </c>
      <c r="W41" s="72">
        <f t="shared" si="44"/>
        <v>0</v>
      </c>
      <c r="X41" s="66"/>
      <c r="Y41" s="72">
        <f t="shared" si="30"/>
        <v>0</v>
      </c>
      <c r="Z41" s="72">
        <f t="shared" si="31"/>
        <v>0</v>
      </c>
      <c r="AA41" s="48" t="str">
        <f t="shared" si="32"/>
        <v>TRUE</v>
      </c>
      <c r="AH41" s="300"/>
      <c r="AI41" s="72">
        <f t="shared" si="45"/>
        <v>0</v>
      </c>
      <c r="AJ41" s="72">
        <f t="shared" si="50"/>
        <v>0</v>
      </c>
      <c r="AK41" s="74"/>
      <c r="AL41" s="72">
        <f t="shared" si="33"/>
        <v>0</v>
      </c>
      <c r="AM41" s="72">
        <f t="shared" si="34"/>
        <v>0</v>
      </c>
      <c r="AN41" s="301"/>
      <c r="AO41" s="72">
        <f t="shared" si="46"/>
        <v>0</v>
      </c>
      <c r="AP41" s="72">
        <f t="shared" si="47"/>
        <v>0</v>
      </c>
      <c r="AQ41" s="74"/>
      <c r="AR41" s="72">
        <f t="shared" si="35"/>
        <v>0</v>
      </c>
      <c r="AS41" s="72">
        <f t="shared" si="36"/>
        <v>0</v>
      </c>
      <c r="AT41" s="301"/>
      <c r="AU41" s="72">
        <f t="shared" si="48"/>
        <v>0</v>
      </c>
      <c r="AV41" s="72">
        <f t="shared" si="49"/>
        <v>0</v>
      </c>
      <c r="AW41" s="66"/>
      <c r="AX41" s="72">
        <f t="shared" si="37"/>
        <v>0</v>
      </c>
      <c r="AY41" s="72">
        <f t="shared" si="38"/>
        <v>0</v>
      </c>
      <c r="AZ41" s="301"/>
      <c r="BA41" s="72">
        <f t="shared" si="39"/>
        <v>0</v>
      </c>
      <c r="BB41" s="72">
        <f t="shared" si="40"/>
        <v>0</v>
      </c>
      <c r="BC41" s="74"/>
      <c r="BD41" s="72">
        <f t="shared" si="41"/>
        <v>0</v>
      </c>
      <c r="BE41" s="72">
        <f t="shared" si="42"/>
        <v>0</v>
      </c>
      <c r="BF41" s="301"/>
      <c r="BG41" s="44"/>
      <c r="BH41" s="44"/>
      <c r="BI41" s="44"/>
      <c r="BJ41" s="44"/>
      <c r="BK41" s="44"/>
      <c r="BM41" s="44"/>
      <c r="BN41" s="44"/>
      <c r="BO41" s="44"/>
      <c r="BP41" s="44"/>
      <c r="BQ41" s="44"/>
      <c r="BS41" s="44"/>
      <c r="BT41" s="44"/>
      <c r="BU41" s="44"/>
      <c r="BV41" s="44"/>
      <c r="BW41" s="44"/>
      <c r="BY41" s="44"/>
      <c r="BZ41" s="44"/>
      <c r="CA41" s="44"/>
      <c r="CB41" s="44"/>
      <c r="CC41" s="44"/>
      <c r="CE41" s="44"/>
      <c r="CF41" s="44"/>
      <c r="CG41" s="44"/>
      <c r="CH41" s="44"/>
      <c r="CI41" s="44"/>
      <c r="CK41" s="44"/>
      <c r="CL41" s="44"/>
      <c r="CM41" s="44"/>
      <c r="CN41" s="44"/>
      <c r="CO41" s="44"/>
    </row>
    <row r="42" spans="1:93" x14ac:dyDescent="0.25">
      <c r="A42" s="35" t="s">
        <v>45</v>
      </c>
      <c r="B42" s="35" t="s">
        <v>90</v>
      </c>
      <c r="C42" s="35" t="s">
        <v>47</v>
      </c>
      <c r="D42" s="35" t="s">
        <v>48</v>
      </c>
      <c r="E42" s="35" t="s">
        <v>48</v>
      </c>
      <c r="F42" s="17" t="str">
        <f t="shared" si="28"/>
        <v>02-5022-01-00-00</v>
      </c>
      <c r="G42" s="37" t="s">
        <v>91</v>
      </c>
      <c r="H42" s="19">
        <f t="shared" si="29"/>
        <v>2000</v>
      </c>
      <c r="I42" s="19">
        <f t="shared" si="29"/>
        <v>2000</v>
      </c>
      <c r="J42" s="19">
        <f t="shared" si="29"/>
        <v>2000</v>
      </c>
      <c r="K42" s="19">
        <f t="shared" si="29"/>
        <v>2000</v>
      </c>
      <c r="L42" s="20">
        <v>8000</v>
      </c>
      <c r="M42" s="20">
        <v>8000</v>
      </c>
      <c r="N42" s="206" t="s">
        <v>705</v>
      </c>
      <c r="P42" s="195">
        <f>INDEX('Apportionment Bases'!M$6:M$33,MATCH('PC2'!$N42,'Apportionment Bases'!$A$6:$A$33,0))</f>
        <v>0</v>
      </c>
      <c r="Q42" s="195">
        <f>INDEX('Apportionment Bases'!N$6:N$33,MATCH('PC2'!$N42,'Apportionment Bases'!$A$6:$A$33,0))</f>
        <v>0</v>
      </c>
      <c r="R42" s="199"/>
      <c r="S42" s="195">
        <f>INDEX('Apportionment Bases'!$P$6:$P$33,MATCH('PC2'!N42,'Apportionment Bases'!$A$6:$A$33,0))</f>
        <v>0.5</v>
      </c>
      <c r="T42" s="195">
        <f>INDEX('Apportionment Bases'!Q$6:Q$33,MATCH('PC2'!$N42,'Apportionment Bases'!$A$6:$A$33,0))</f>
        <v>0.5</v>
      </c>
      <c r="V42" s="72">
        <f t="shared" si="43"/>
        <v>0</v>
      </c>
      <c r="W42" s="72">
        <f t="shared" si="44"/>
        <v>0</v>
      </c>
      <c r="X42" s="66"/>
      <c r="Y42" s="72">
        <f t="shared" si="30"/>
        <v>4000</v>
      </c>
      <c r="Z42" s="72">
        <f t="shared" si="31"/>
        <v>4000</v>
      </c>
      <c r="AA42" s="48" t="str">
        <f t="shared" si="32"/>
        <v>TRUE</v>
      </c>
      <c r="AH42" s="300"/>
      <c r="AI42" s="72">
        <f t="shared" si="45"/>
        <v>0</v>
      </c>
      <c r="AJ42" s="72">
        <f t="shared" si="50"/>
        <v>0</v>
      </c>
      <c r="AK42" s="74"/>
      <c r="AL42" s="72">
        <f t="shared" si="33"/>
        <v>1200</v>
      </c>
      <c r="AM42" s="72">
        <f t="shared" si="34"/>
        <v>1230.8</v>
      </c>
      <c r="AN42" s="301"/>
      <c r="AO42" s="72">
        <f t="shared" si="46"/>
        <v>0</v>
      </c>
      <c r="AP42" s="72">
        <f t="shared" si="47"/>
        <v>0</v>
      </c>
      <c r="AQ42" s="74"/>
      <c r="AR42" s="72">
        <f t="shared" si="35"/>
        <v>864.80000000000007</v>
      </c>
      <c r="AS42" s="72">
        <f t="shared" si="36"/>
        <v>923.2</v>
      </c>
      <c r="AT42" s="301"/>
      <c r="AU42" s="72">
        <f t="shared" si="48"/>
        <v>0</v>
      </c>
      <c r="AV42" s="72">
        <f t="shared" si="49"/>
        <v>0</v>
      </c>
      <c r="AW42" s="66"/>
      <c r="AX42" s="72">
        <f t="shared" si="37"/>
        <v>800</v>
      </c>
      <c r="AY42" s="72">
        <f t="shared" si="38"/>
        <v>1153.5999999999999</v>
      </c>
      <c r="AZ42" s="301"/>
      <c r="BA42" s="72">
        <f t="shared" si="39"/>
        <v>0</v>
      </c>
      <c r="BB42" s="72">
        <f t="shared" si="40"/>
        <v>0</v>
      </c>
      <c r="BC42" s="74"/>
      <c r="BD42" s="72">
        <f t="shared" si="41"/>
        <v>1135.2</v>
      </c>
      <c r="BE42" s="72">
        <f t="shared" si="42"/>
        <v>692.4</v>
      </c>
      <c r="BF42" s="301"/>
      <c r="BG42" s="44"/>
      <c r="BH42" s="44"/>
      <c r="BI42" s="44"/>
      <c r="BJ42" s="44"/>
      <c r="BK42" s="44"/>
      <c r="BM42" s="44"/>
      <c r="BN42" s="44"/>
      <c r="BO42" s="44"/>
      <c r="BP42" s="44"/>
      <c r="BQ42" s="44"/>
      <c r="BS42" s="44"/>
      <c r="BT42" s="44"/>
      <c r="BU42" s="44"/>
      <c r="BV42" s="44"/>
      <c r="BW42" s="44"/>
      <c r="BY42" s="44"/>
      <c r="BZ42" s="44"/>
      <c r="CA42" s="44"/>
      <c r="CB42" s="44"/>
      <c r="CC42" s="44"/>
      <c r="CE42" s="44"/>
      <c r="CF42" s="44"/>
      <c r="CG42" s="44"/>
      <c r="CH42" s="44"/>
      <c r="CI42" s="44"/>
      <c r="CK42" s="44"/>
      <c r="CL42" s="44"/>
      <c r="CM42" s="44"/>
      <c r="CN42" s="44"/>
      <c r="CO42" s="44"/>
    </row>
    <row r="43" spans="1:93" x14ac:dyDescent="0.25">
      <c r="A43" s="35" t="s">
        <v>45</v>
      </c>
      <c r="B43" s="35" t="s">
        <v>92</v>
      </c>
      <c r="C43" s="35" t="s">
        <v>47</v>
      </c>
      <c r="D43" s="35" t="s">
        <v>48</v>
      </c>
      <c r="E43" s="35" t="s">
        <v>48</v>
      </c>
      <c r="F43" s="17" t="str">
        <f t="shared" si="28"/>
        <v>02-5023-01-00-00</v>
      </c>
      <c r="G43" s="37" t="s">
        <v>93</v>
      </c>
      <c r="H43" s="19">
        <f t="shared" ref="H43:K62" si="51">($L43/4)</f>
        <v>6250</v>
      </c>
      <c r="I43" s="19">
        <f t="shared" si="51"/>
        <v>6250</v>
      </c>
      <c r="J43" s="19">
        <f t="shared" si="51"/>
        <v>6250</v>
      </c>
      <c r="K43" s="19">
        <f t="shared" si="51"/>
        <v>6250</v>
      </c>
      <c r="L43" s="20">
        <v>25000</v>
      </c>
      <c r="M43" s="20">
        <v>27000</v>
      </c>
      <c r="N43" s="206" t="s">
        <v>705</v>
      </c>
      <c r="P43" s="195">
        <f>INDEX('Apportionment Bases'!M$6:M$33,MATCH('PC2'!$N43,'Apportionment Bases'!$A$6:$A$33,0))</f>
        <v>0</v>
      </c>
      <c r="Q43" s="195">
        <f>INDEX('Apportionment Bases'!N$6:N$33,MATCH('PC2'!$N43,'Apportionment Bases'!$A$6:$A$33,0))</f>
        <v>0</v>
      </c>
      <c r="R43" s="199"/>
      <c r="S43" s="195">
        <f>INDEX('Apportionment Bases'!$P$6:$P$33,MATCH('PC2'!N43,'Apportionment Bases'!$A$6:$A$33,0))</f>
        <v>0.5</v>
      </c>
      <c r="T43" s="195">
        <f>INDEX('Apportionment Bases'!Q$6:Q$33,MATCH('PC2'!$N43,'Apportionment Bases'!$A$6:$A$33,0))</f>
        <v>0.5</v>
      </c>
      <c r="V43" s="72">
        <f t="shared" si="43"/>
        <v>0</v>
      </c>
      <c r="W43" s="72">
        <f t="shared" si="44"/>
        <v>0</v>
      </c>
      <c r="X43" s="66"/>
      <c r="Y43" s="72">
        <f t="shared" si="30"/>
        <v>12500</v>
      </c>
      <c r="Z43" s="72">
        <f t="shared" si="31"/>
        <v>12500</v>
      </c>
      <c r="AA43" s="48" t="str">
        <f t="shared" si="32"/>
        <v>TRUE</v>
      </c>
      <c r="AH43" s="300"/>
      <c r="AI43" s="72">
        <f t="shared" si="45"/>
        <v>0</v>
      </c>
      <c r="AJ43" s="72">
        <f t="shared" si="50"/>
        <v>0</v>
      </c>
      <c r="AK43" s="74"/>
      <c r="AL43" s="72">
        <f t="shared" si="33"/>
        <v>3750</v>
      </c>
      <c r="AM43" s="72">
        <f t="shared" si="34"/>
        <v>3846.2499999999995</v>
      </c>
      <c r="AN43" s="301"/>
      <c r="AO43" s="72">
        <f t="shared" si="46"/>
        <v>0</v>
      </c>
      <c r="AP43" s="72">
        <f t="shared" si="47"/>
        <v>0</v>
      </c>
      <c r="AQ43" s="74"/>
      <c r="AR43" s="72">
        <f t="shared" si="35"/>
        <v>2702.5</v>
      </c>
      <c r="AS43" s="72">
        <f t="shared" si="36"/>
        <v>2885</v>
      </c>
      <c r="AT43" s="301"/>
      <c r="AU43" s="72">
        <f t="shared" si="48"/>
        <v>0</v>
      </c>
      <c r="AV43" s="72">
        <f t="shared" si="49"/>
        <v>0</v>
      </c>
      <c r="AW43" s="66"/>
      <c r="AX43" s="72">
        <f t="shared" si="37"/>
        <v>2500</v>
      </c>
      <c r="AY43" s="72">
        <f t="shared" si="38"/>
        <v>3605</v>
      </c>
      <c r="AZ43" s="301"/>
      <c r="BA43" s="72">
        <f t="shared" si="39"/>
        <v>0</v>
      </c>
      <c r="BB43" s="72">
        <f t="shared" si="40"/>
        <v>0</v>
      </c>
      <c r="BC43" s="74"/>
      <c r="BD43" s="72">
        <f t="shared" si="41"/>
        <v>3547.5</v>
      </c>
      <c r="BE43" s="72">
        <f t="shared" si="42"/>
        <v>2163.75</v>
      </c>
      <c r="BF43" s="301"/>
      <c r="BG43" s="44"/>
      <c r="BH43" s="44"/>
      <c r="BI43" s="44"/>
      <c r="BJ43" s="44"/>
      <c r="BK43" s="44"/>
      <c r="BM43" s="44"/>
      <c r="BN43" s="44"/>
      <c r="BO43" s="44"/>
      <c r="BP43" s="44"/>
      <c r="BQ43" s="44"/>
      <c r="BS43" s="44"/>
      <c r="BT43" s="44"/>
      <c r="BU43" s="44"/>
      <c r="BV43" s="44"/>
      <c r="BW43" s="44"/>
      <c r="BY43" s="44"/>
      <c r="BZ43" s="44"/>
      <c r="CA43" s="44"/>
      <c r="CB43" s="44"/>
      <c r="CC43" s="44"/>
      <c r="CE43" s="44"/>
      <c r="CF43" s="44"/>
      <c r="CG43" s="44"/>
      <c r="CH43" s="44"/>
      <c r="CI43" s="44"/>
      <c r="CK43" s="44"/>
      <c r="CL43" s="44"/>
      <c r="CM43" s="44"/>
      <c r="CN43" s="44"/>
      <c r="CO43" s="44"/>
    </row>
    <row r="44" spans="1:93" x14ac:dyDescent="0.25">
      <c r="A44" s="35" t="s">
        <v>45</v>
      </c>
      <c r="B44" s="35" t="s">
        <v>94</v>
      </c>
      <c r="C44" s="35" t="s">
        <v>47</v>
      </c>
      <c r="D44" s="35" t="s">
        <v>48</v>
      </c>
      <c r="E44" s="35" t="s">
        <v>48</v>
      </c>
      <c r="F44" s="17" t="str">
        <f t="shared" si="28"/>
        <v>02-5024-01-00-00</v>
      </c>
      <c r="G44" s="37" t="s">
        <v>22</v>
      </c>
      <c r="H44" s="19">
        <f t="shared" si="51"/>
        <v>4000</v>
      </c>
      <c r="I44" s="19">
        <f t="shared" si="51"/>
        <v>4000</v>
      </c>
      <c r="J44" s="19">
        <f t="shared" si="51"/>
        <v>4000</v>
      </c>
      <c r="K44" s="19">
        <f t="shared" si="51"/>
        <v>4000</v>
      </c>
      <c r="L44" s="20">
        <v>16000</v>
      </c>
      <c r="M44" s="20">
        <v>15992</v>
      </c>
      <c r="N44" s="206" t="s">
        <v>22</v>
      </c>
      <c r="P44" s="195">
        <f>INDEX('Apportionment Bases'!M$6:M$33,MATCH('PC2'!$N44,'Apportionment Bases'!$A$6:$A$33,0))</f>
        <v>0.2</v>
      </c>
      <c r="Q44" s="195">
        <f>INDEX('Apportionment Bases'!N$6:N$33,MATCH('PC2'!$N44,'Apportionment Bases'!$A$6:$A$33,0))</f>
        <v>0.8</v>
      </c>
      <c r="R44" s="199"/>
      <c r="S44" s="195">
        <f>INDEX('Apportionment Bases'!$P$6:$P$33,MATCH('PC2'!N44,'Apportionment Bases'!$A$6:$A$33,0))</f>
        <v>0</v>
      </c>
      <c r="T44" s="195">
        <f>INDEX('Apportionment Bases'!Q$6:Q$33,MATCH('PC2'!$N44,'Apportionment Bases'!$A$6:$A$33,0))</f>
        <v>0</v>
      </c>
      <c r="V44" s="72">
        <f t="shared" si="43"/>
        <v>3200</v>
      </c>
      <c r="W44" s="72">
        <f t="shared" si="44"/>
        <v>12800</v>
      </c>
      <c r="X44" s="66"/>
      <c r="Y44" s="72">
        <f t="shared" si="30"/>
        <v>0</v>
      </c>
      <c r="Z44" s="72">
        <f t="shared" si="31"/>
        <v>0</v>
      </c>
      <c r="AA44" s="48" t="str">
        <f t="shared" si="32"/>
        <v>TRUE</v>
      </c>
      <c r="AH44" s="300"/>
      <c r="AI44" s="72">
        <f t="shared" si="45"/>
        <v>762.24</v>
      </c>
      <c r="AJ44" s="72">
        <f t="shared" si="50"/>
        <v>3520.0000000000005</v>
      </c>
      <c r="AK44" s="74"/>
      <c r="AL44" s="72">
        <f t="shared" si="33"/>
        <v>0</v>
      </c>
      <c r="AM44" s="72">
        <f t="shared" si="34"/>
        <v>0</v>
      </c>
      <c r="AN44" s="301"/>
      <c r="AO44" s="72">
        <f t="shared" si="46"/>
        <v>487.68</v>
      </c>
      <c r="AP44" s="72">
        <f t="shared" si="47"/>
        <v>2494.7199999999998</v>
      </c>
      <c r="AQ44" s="74"/>
      <c r="AR44" s="72">
        <f t="shared" si="35"/>
        <v>0</v>
      </c>
      <c r="AS44" s="72">
        <f t="shared" si="36"/>
        <v>0</v>
      </c>
      <c r="AT44" s="301"/>
      <c r="AU44" s="72">
        <f t="shared" si="48"/>
        <v>695.36</v>
      </c>
      <c r="AV44" s="72">
        <f t="shared" si="49"/>
        <v>3060.48</v>
      </c>
      <c r="AW44" s="66"/>
      <c r="AX44" s="72">
        <f t="shared" si="37"/>
        <v>0</v>
      </c>
      <c r="AY44" s="72">
        <f t="shared" si="38"/>
        <v>0</v>
      </c>
      <c r="AZ44" s="301"/>
      <c r="BA44" s="72">
        <f t="shared" si="39"/>
        <v>1254.72</v>
      </c>
      <c r="BB44" s="72">
        <f t="shared" si="40"/>
        <v>3724.7999999999997</v>
      </c>
      <c r="BC44" s="74"/>
      <c r="BD44" s="72">
        <f t="shared" si="41"/>
        <v>0</v>
      </c>
      <c r="BE44" s="72">
        <f t="shared" si="42"/>
        <v>0</v>
      </c>
      <c r="BF44" s="301"/>
      <c r="BG44" s="44"/>
      <c r="BH44" s="44"/>
      <c r="BI44" s="44"/>
      <c r="BJ44" s="44"/>
      <c r="BK44" s="44"/>
      <c r="BM44" s="44"/>
      <c r="BN44" s="44"/>
      <c r="BO44" s="44"/>
      <c r="BP44" s="44"/>
      <c r="BQ44" s="44"/>
      <c r="BS44" s="44"/>
      <c r="BT44" s="44"/>
      <c r="BU44" s="44"/>
      <c r="BV44" s="44"/>
      <c r="BW44" s="44"/>
      <c r="BY44" s="44"/>
      <c r="BZ44" s="44"/>
      <c r="CA44" s="44"/>
      <c r="CB44" s="44"/>
      <c r="CC44" s="44"/>
      <c r="CE44" s="44"/>
      <c r="CF44" s="44"/>
      <c r="CG44" s="44"/>
      <c r="CH44" s="44"/>
      <c r="CI44" s="44"/>
      <c r="CK44" s="44"/>
      <c r="CL44" s="44"/>
      <c r="CM44" s="44"/>
      <c r="CN44" s="44"/>
      <c r="CO44" s="44"/>
    </row>
    <row r="45" spans="1:93" x14ac:dyDescent="0.25">
      <c r="A45" s="35" t="s">
        <v>45</v>
      </c>
      <c r="B45" s="35" t="s">
        <v>95</v>
      </c>
      <c r="C45" s="35" t="s">
        <v>47</v>
      </c>
      <c r="D45" s="35" t="s">
        <v>48</v>
      </c>
      <c r="E45" s="35" t="s">
        <v>48</v>
      </c>
      <c r="F45" s="17" t="str">
        <f t="shared" si="28"/>
        <v>02-5025-01-00-00</v>
      </c>
      <c r="G45" s="37" t="s">
        <v>96</v>
      </c>
      <c r="H45" s="19">
        <f t="shared" si="51"/>
        <v>3250</v>
      </c>
      <c r="I45" s="19">
        <f t="shared" si="51"/>
        <v>3250</v>
      </c>
      <c r="J45" s="19">
        <f t="shared" si="51"/>
        <v>3250</v>
      </c>
      <c r="K45" s="19">
        <f t="shared" si="51"/>
        <v>3250</v>
      </c>
      <c r="L45" s="20">
        <v>13000</v>
      </c>
      <c r="M45" s="20">
        <v>13004</v>
      </c>
      <c r="N45" s="206" t="s">
        <v>479</v>
      </c>
      <c r="P45" s="195">
        <f>INDEX('Apportionment Bases'!M$6:M$33,MATCH('PC2'!$N45,'Apportionment Bases'!$A$6:$A$33,0))</f>
        <v>0.42199999999999999</v>
      </c>
      <c r="Q45" s="195">
        <f>INDEX('Apportionment Bases'!N$6:N$33,MATCH('PC2'!$N45,'Apportionment Bases'!$A$6:$A$33,0))</f>
        <v>0.48399999999999999</v>
      </c>
      <c r="R45" s="199"/>
      <c r="S45" s="195">
        <f>INDEX('Apportionment Bases'!$P$6:$P$33,MATCH('PC2'!N45,'Apportionment Bases'!$A$6:$A$33,0))</f>
        <v>4.7E-2</v>
      </c>
      <c r="T45" s="195">
        <f>INDEX('Apportionment Bases'!Q$6:Q$33,MATCH('PC2'!$N45,'Apportionment Bases'!$A$6:$A$33,0))</f>
        <v>4.7E-2</v>
      </c>
      <c r="V45" s="72">
        <f t="shared" si="43"/>
        <v>5486</v>
      </c>
      <c r="W45" s="72">
        <f t="shared" si="44"/>
        <v>6292</v>
      </c>
      <c r="X45" s="66"/>
      <c r="Y45" s="72">
        <f t="shared" si="30"/>
        <v>611</v>
      </c>
      <c r="Z45" s="72">
        <f t="shared" si="31"/>
        <v>611</v>
      </c>
      <c r="AA45" s="48" t="str">
        <f t="shared" si="32"/>
        <v>TRUE</v>
      </c>
      <c r="AH45" s="300"/>
      <c r="AI45" s="72">
        <f t="shared" si="45"/>
        <v>1306.7652</v>
      </c>
      <c r="AJ45" s="72">
        <f t="shared" si="50"/>
        <v>1730.3000000000002</v>
      </c>
      <c r="AK45" s="74"/>
      <c r="AL45" s="72">
        <f t="shared" si="33"/>
        <v>183.29999999999998</v>
      </c>
      <c r="AM45" s="72">
        <f t="shared" si="34"/>
        <v>188.00469999999999</v>
      </c>
      <c r="AN45" s="301"/>
      <c r="AO45" s="72">
        <f t="shared" si="46"/>
        <v>836.06640000000004</v>
      </c>
      <c r="AP45" s="72">
        <f t="shared" si="47"/>
        <v>1226.3108</v>
      </c>
      <c r="AQ45" s="74"/>
      <c r="AR45" s="72">
        <f t="shared" si="35"/>
        <v>132.09819999999999</v>
      </c>
      <c r="AS45" s="72">
        <f t="shared" si="36"/>
        <v>141.0188</v>
      </c>
      <c r="AT45" s="301"/>
      <c r="AU45" s="72">
        <f t="shared" si="48"/>
        <v>1192.1078</v>
      </c>
      <c r="AV45" s="72">
        <f t="shared" si="49"/>
        <v>1504.4172000000001</v>
      </c>
      <c r="AW45" s="66"/>
      <c r="AX45" s="72">
        <f t="shared" si="37"/>
        <v>122.2</v>
      </c>
      <c r="AY45" s="72">
        <f t="shared" si="38"/>
        <v>176.2124</v>
      </c>
      <c r="AZ45" s="301"/>
      <c r="BA45" s="72">
        <f t="shared" si="39"/>
        <v>2151.0606000000002</v>
      </c>
      <c r="BB45" s="72">
        <f t="shared" si="40"/>
        <v>1830.972</v>
      </c>
      <c r="BC45" s="74"/>
      <c r="BD45" s="72">
        <f t="shared" si="41"/>
        <v>173.40180000000001</v>
      </c>
      <c r="BE45" s="72">
        <f t="shared" si="42"/>
        <v>105.7641</v>
      </c>
      <c r="BF45" s="301"/>
      <c r="BG45" s="44"/>
      <c r="BH45" s="44"/>
      <c r="BI45" s="44"/>
      <c r="BJ45" s="44"/>
      <c r="BK45" s="44"/>
      <c r="BM45" s="44"/>
      <c r="BN45" s="44"/>
      <c r="BO45" s="44"/>
      <c r="BP45" s="44"/>
      <c r="BQ45" s="44"/>
      <c r="BS45" s="44"/>
      <c r="BT45" s="44"/>
      <c r="BU45" s="44"/>
      <c r="BV45" s="44"/>
      <c r="BW45" s="44"/>
      <c r="BY45" s="44"/>
      <c r="BZ45" s="44"/>
      <c r="CA45" s="44"/>
      <c r="CB45" s="44"/>
      <c r="CC45" s="44"/>
      <c r="CE45" s="44"/>
      <c r="CF45" s="44"/>
      <c r="CG45" s="44"/>
      <c r="CH45" s="44"/>
      <c r="CI45" s="44"/>
      <c r="CK45" s="44"/>
      <c r="CL45" s="44"/>
      <c r="CM45" s="44"/>
      <c r="CN45" s="44"/>
      <c r="CO45" s="44"/>
    </row>
    <row r="46" spans="1:93" x14ac:dyDescent="0.25">
      <c r="A46" s="35" t="s">
        <v>45</v>
      </c>
      <c r="B46" s="35" t="s">
        <v>97</v>
      </c>
      <c r="C46" s="35" t="s">
        <v>47</v>
      </c>
      <c r="D46" s="35" t="s">
        <v>48</v>
      </c>
      <c r="E46" s="35" t="s">
        <v>48</v>
      </c>
      <c r="F46" s="17" t="str">
        <f t="shared" si="28"/>
        <v>02-5026-01-00-00</v>
      </c>
      <c r="G46" s="37" t="s">
        <v>98</v>
      </c>
      <c r="H46" s="19">
        <f t="shared" si="51"/>
        <v>3750</v>
      </c>
      <c r="I46" s="19">
        <f t="shared" si="51"/>
        <v>3750</v>
      </c>
      <c r="J46" s="19">
        <f t="shared" si="51"/>
        <v>3750</v>
      </c>
      <c r="K46" s="19">
        <f t="shared" si="51"/>
        <v>3750</v>
      </c>
      <c r="L46" s="20">
        <v>15000</v>
      </c>
      <c r="M46" s="20">
        <v>14988</v>
      </c>
      <c r="N46" s="206" t="s">
        <v>705</v>
      </c>
      <c r="P46" s="195">
        <f>INDEX('Apportionment Bases'!M$6:M$33,MATCH('PC2'!$N46,'Apportionment Bases'!$A$6:$A$33,0))</f>
        <v>0</v>
      </c>
      <c r="Q46" s="195">
        <f>INDEX('Apportionment Bases'!N$6:N$33,MATCH('PC2'!$N46,'Apportionment Bases'!$A$6:$A$33,0))</f>
        <v>0</v>
      </c>
      <c r="R46" s="199"/>
      <c r="S46" s="195">
        <f>INDEX('Apportionment Bases'!$P$6:$P$33,MATCH('PC2'!N46,'Apportionment Bases'!$A$6:$A$33,0))</f>
        <v>0.5</v>
      </c>
      <c r="T46" s="195">
        <f>INDEX('Apportionment Bases'!Q$6:Q$33,MATCH('PC2'!$N46,'Apportionment Bases'!$A$6:$A$33,0))</f>
        <v>0.5</v>
      </c>
      <c r="V46" s="72">
        <f t="shared" si="43"/>
        <v>0</v>
      </c>
      <c r="W46" s="72">
        <f t="shared" si="44"/>
        <v>0</v>
      </c>
      <c r="X46" s="66"/>
      <c r="Y46" s="72">
        <f t="shared" si="30"/>
        <v>7500</v>
      </c>
      <c r="Z46" s="72">
        <f t="shared" si="31"/>
        <v>7500</v>
      </c>
      <c r="AA46" s="48" t="str">
        <f t="shared" si="32"/>
        <v>TRUE</v>
      </c>
      <c r="AH46" s="300"/>
      <c r="AI46" s="72">
        <f t="shared" si="45"/>
        <v>0</v>
      </c>
      <c r="AJ46" s="72">
        <f t="shared" si="50"/>
        <v>0</v>
      </c>
      <c r="AK46" s="74"/>
      <c r="AL46" s="72">
        <f t="shared" si="33"/>
        <v>2250</v>
      </c>
      <c r="AM46" s="72">
        <f t="shared" si="34"/>
        <v>2307.75</v>
      </c>
      <c r="AN46" s="301"/>
      <c r="AO46" s="72">
        <f t="shared" si="46"/>
        <v>0</v>
      </c>
      <c r="AP46" s="72">
        <f t="shared" si="47"/>
        <v>0</v>
      </c>
      <c r="AQ46" s="74"/>
      <c r="AR46" s="72">
        <f t="shared" si="35"/>
        <v>1621.5</v>
      </c>
      <c r="AS46" s="72">
        <f t="shared" si="36"/>
        <v>1731</v>
      </c>
      <c r="AT46" s="301"/>
      <c r="AU46" s="72">
        <f t="shared" si="48"/>
        <v>0</v>
      </c>
      <c r="AV46" s="72">
        <f t="shared" si="49"/>
        <v>0</v>
      </c>
      <c r="AW46" s="66"/>
      <c r="AX46" s="72">
        <f t="shared" si="37"/>
        <v>1500</v>
      </c>
      <c r="AY46" s="72">
        <f t="shared" si="38"/>
        <v>2163</v>
      </c>
      <c r="AZ46" s="301"/>
      <c r="BA46" s="72">
        <f t="shared" si="39"/>
        <v>0</v>
      </c>
      <c r="BB46" s="72">
        <f t="shared" si="40"/>
        <v>0</v>
      </c>
      <c r="BC46" s="74"/>
      <c r="BD46" s="72">
        <f t="shared" si="41"/>
        <v>2128.5</v>
      </c>
      <c r="BE46" s="72">
        <f t="shared" si="42"/>
        <v>1298.25</v>
      </c>
      <c r="BF46" s="301"/>
      <c r="BG46" s="44"/>
      <c r="BH46" s="44"/>
      <c r="BI46" s="44"/>
      <c r="BJ46" s="44"/>
      <c r="BK46" s="44"/>
      <c r="BM46" s="44"/>
      <c r="BN46" s="44"/>
      <c r="BO46" s="44"/>
      <c r="BP46" s="44"/>
      <c r="BQ46" s="44"/>
      <c r="BS46" s="44"/>
      <c r="BT46" s="44"/>
      <c r="BU46" s="44"/>
      <c r="BV46" s="44"/>
      <c r="BW46" s="44"/>
      <c r="BY46" s="44"/>
      <c r="BZ46" s="44"/>
      <c r="CA46" s="44"/>
      <c r="CB46" s="44"/>
      <c r="CC46" s="44"/>
      <c r="CE46" s="44"/>
      <c r="CF46" s="44"/>
      <c r="CG46" s="44"/>
      <c r="CH46" s="44"/>
      <c r="CI46" s="44"/>
      <c r="CK46" s="44"/>
      <c r="CL46" s="44"/>
      <c r="CM46" s="44"/>
      <c r="CN46" s="44"/>
      <c r="CO46" s="44"/>
    </row>
    <row r="47" spans="1:93" x14ac:dyDescent="0.25">
      <c r="A47" s="35" t="s">
        <v>45</v>
      </c>
      <c r="B47" s="35" t="s">
        <v>99</v>
      </c>
      <c r="C47" s="35" t="s">
        <v>47</v>
      </c>
      <c r="D47" s="35" t="s">
        <v>48</v>
      </c>
      <c r="E47" s="35" t="s">
        <v>48</v>
      </c>
      <c r="F47" s="17" t="str">
        <f t="shared" si="28"/>
        <v>02-5027-01-00-00</v>
      </c>
      <c r="G47" s="36" t="s">
        <v>100</v>
      </c>
      <c r="H47" s="19">
        <f t="shared" si="51"/>
        <v>17612</v>
      </c>
      <c r="I47" s="19">
        <f t="shared" si="51"/>
        <v>17612</v>
      </c>
      <c r="J47" s="19">
        <f t="shared" si="51"/>
        <v>17612</v>
      </c>
      <c r="K47" s="19">
        <f t="shared" si="51"/>
        <v>17612</v>
      </c>
      <c r="L47" s="20">
        <v>70448</v>
      </c>
      <c r="M47" s="20">
        <v>60832</v>
      </c>
      <c r="N47" s="206" t="s">
        <v>705</v>
      </c>
      <c r="P47" s="195">
        <f>INDEX('Apportionment Bases'!M$6:M$33,MATCH('PC2'!$N47,'Apportionment Bases'!$A$6:$A$33,0))</f>
        <v>0</v>
      </c>
      <c r="Q47" s="195">
        <f>INDEX('Apportionment Bases'!N$6:N$33,MATCH('PC2'!$N47,'Apportionment Bases'!$A$6:$A$33,0))</f>
        <v>0</v>
      </c>
      <c r="R47" s="199"/>
      <c r="S47" s="195">
        <f>INDEX('Apportionment Bases'!$P$6:$P$33,MATCH('PC2'!N47,'Apportionment Bases'!$A$6:$A$33,0))</f>
        <v>0.5</v>
      </c>
      <c r="T47" s="195">
        <f>INDEX('Apportionment Bases'!Q$6:Q$33,MATCH('PC2'!$N47,'Apportionment Bases'!$A$6:$A$33,0))</f>
        <v>0.5</v>
      </c>
      <c r="V47" s="72">
        <f t="shared" si="43"/>
        <v>0</v>
      </c>
      <c r="W47" s="72">
        <f t="shared" si="44"/>
        <v>0</v>
      </c>
      <c r="X47" s="66"/>
      <c r="Y47" s="72">
        <f t="shared" si="30"/>
        <v>35224</v>
      </c>
      <c r="Z47" s="72">
        <f t="shared" si="31"/>
        <v>35224</v>
      </c>
      <c r="AA47" s="48" t="str">
        <f t="shared" si="32"/>
        <v>TRUE</v>
      </c>
      <c r="AH47" s="300"/>
      <c r="AI47" s="72">
        <f t="shared" si="45"/>
        <v>0</v>
      </c>
      <c r="AJ47" s="72">
        <f t="shared" si="50"/>
        <v>0</v>
      </c>
      <c r="AK47" s="74"/>
      <c r="AL47" s="72">
        <f t="shared" si="33"/>
        <v>10567.199999999999</v>
      </c>
      <c r="AM47" s="72">
        <f t="shared" si="34"/>
        <v>10838.424799999999</v>
      </c>
      <c r="AN47" s="301"/>
      <c r="AO47" s="72">
        <f t="shared" si="46"/>
        <v>0</v>
      </c>
      <c r="AP47" s="72">
        <f t="shared" si="47"/>
        <v>0</v>
      </c>
      <c r="AQ47" s="74"/>
      <c r="AR47" s="72">
        <f t="shared" si="35"/>
        <v>7615.4287999999997</v>
      </c>
      <c r="AS47" s="72">
        <f t="shared" si="36"/>
        <v>8129.6992</v>
      </c>
      <c r="AT47" s="301"/>
      <c r="AU47" s="72">
        <f t="shared" si="48"/>
        <v>0</v>
      </c>
      <c r="AV47" s="72">
        <f t="shared" si="49"/>
        <v>0</v>
      </c>
      <c r="AW47" s="66"/>
      <c r="AX47" s="72">
        <f t="shared" si="37"/>
        <v>7044.8</v>
      </c>
      <c r="AY47" s="72">
        <f t="shared" si="38"/>
        <v>10158.6016</v>
      </c>
      <c r="AZ47" s="301"/>
      <c r="BA47" s="72">
        <f t="shared" si="39"/>
        <v>0</v>
      </c>
      <c r="BB47" s="72">
        <f t="shared" si="40"/>
        <v>0</v>
      </c>
      <c r="BC47" s="74"/>
      <c r="BD47" s="72">
        <f t="shared" si="41"/>
        <v>9996.5712000000003</v>
      </c>
      <c r="BE47" s="72">
        <f t="shared" si="42"/>
        <v>6097.2744000000002</v>
      </c>
      <c r="BF47" s="301"/>
      <c r="BG47" s="44"/>
      <c r="BH47" s="44"/>
      <c r="BI47" s="44"/>
      <c r="BJ47" s="44"/>
      <c r="BK47" s="44"/>
      <c r="BM47" s="44"/>
      <c r="BN47" s="44"/>
      <c r="BO47" s="44"/>
      <c r="BP47" s="44"/>
      <c r="BQ47" s="44"/>
      <c r="BS47" s="44"/>
      <c r="BT47" s="44"/>
      <c r="BU47" s="44"/>
      <c r="BV47" s="44"/>
      <c r="BW47" s="44"/>
      <c r="BY47" s="44"/>
      <c r="BZ47" s="44"/>
      <c r="CA47" s="44"/>
      <c r="CB47" s="44"/>
      <c r="CC47" s="44"/>
      <c r="CE47" s="44"/>
      <c r="CF47" s="44"/>
      <c r="CG47" s="44"/>
      <c r="CH47" s="44"/>
      <c r="CI47" s="44"/>
      <c r="CK47" s="44"/>
      <c r="CL47" s="44"/>
      <c r="CM47" s="44"/>
      <c r="CN47" s="44"/>
      <c r="CO47" s="44"/>
    </row>
    <row r="48" spans="1:93" x14ac:dyDescent="0.25">
      <c r="A48" s="35" t="s">
        <v>45</v>
      </c>
      <c r="B48" s="35" t="s">
        <v>99</v>
      </c>
      <c r="C48" s="35" t="s">
        <v>45</v>
      </c>
      <c r="D48" s="35" t="s">
        <v>48</v>
      </c>
      <c r="E48" s="35" t="s">
        <v>48</v>
      </c>
      <c r="F48" s="17" t="str">
        <f t="shared" si="28"/>
        <v>02-5027-02-00-00</v>
      </c>
      <c r="G48" s="36" t="s">
        <v>100</v>
      </c>
      <c r="H48" s="19">
        <f t="shared" si="51"/>
        <v>0</v>
      </c>
      <c r="I48" s="19">
        <f t="shared" si="51"/>
        <v>0</v>
      </c>
      <c r="J48" s="19">
        <f t="shared" si="51"/>
        <v>0</v>
      </c>
      <c r="K48" s="19">
        <f t="shared" si="51"/>
        <v>0</v>
      </c>
      <c r="L48" s="20">
        <v>0</v>
      </c>
      <c r="M48" s="20">
        <v>4632</v>
      </c>
      <c r="N48" s="206" t="s">
        <v>705</v>
      </c>
      <c r="P48" s="195">
        <f>INDEX('Apportionment Bases'!M$6:M$33,MATCH('PC2'!$N48,'Apportionment Bases'!$A$6:$A$33,0))</f>
        <v>0</v>
      </c>
      <c r="Q48" s="195">
        <f>INDEX('Apportionment Bases'!N$6:N$33,MATCH('PC2'!$N48,'Apportionment Bases'!$A$6:$A$33,0))</f>
        <v>0</v>
      </c>
      <c r="R48" s="199"/>
      <c r="S48" s="195">
        <f>INDEX('Apportionment Bases'!$P$6:$P$33,MATCH('PC2'!N48,'Apportionment Bases'!$A$6:$A$33,0))</f>
        <v>0.5</v>
      </c>
      <c r="T48" s="195">
        <f>INDEX('Apportionment Bases'!Q$6:Q$33,MATCH('PC2'!$N48,'Apportionment Bases'!$A$6:$A$33,0))</f>
        <v>0.5</v>
      </c>
      <c r="V48" s="72">
        <f t="shared" si="43"/>
        <v>0</v>
      </c>
      <c r="W48" s="72">
        <f t="shared" si="44"/>
        <v>0</v>
      </c>
      <c r="X48" s="66"/>
      <c r="Y48" s="72">
        <f t="shared" si="30"/>
        <v>0</v>
      </c>
      <c r="Z48" s="72">
        <f t="shared" si="31"/>
        <v>0</v>
      </c>
      <c r="AA48" s="48" t="str">
        <f t="shared" si="32"/>
        <v>TRUE</v>
      </c>
      <c r="AH48" s="300"/>
      <c r="AI48" s="72">
        <f t="shared" si="45"/>
        <v>0</v>
      </c>
      <c r="AJ48" s="72">
        <f t="shared" si="50"/>
        <v>0</v>
      </c>
      <c r="AK48" s="74"/>
      <c r="AL48" s="72">
        <f t="shared" si="33"/>
        <v>0</v>
      </c>
      <c r="AM48" s="72">
        <f t="shared" si="34"/>
        <v>0</v>
      </c>
      <c r="AN48" s="301"/>
      <c r="AO48" s="72">
        <f t="shared" si="46"/>
        <v>0</v>
      </c>
      <c r="AP48" s="72">
        <f t="shared" si="47"/>
        <v>0</v>
      </c>
      <c r="AQ48" s="74"/>
      <c r="AR48" s="72">
        <f t="shared" si="35"/>
        <v>0</v>
      </c>
      <c r="AS48" s="72">
        <f t="shared" si="36"/>
        <v>0</v>
      </c>
      <c r="AT48" s="301"/>
      <c r="AU48" s="72">
        <f t="shared" si="48"/>
        <v>0</v>
      </c>
      <c r="AV48" s="72">
        <f t="shared" si="49"/>
        <v>0</v>
      </c>
      <c r="AW48" s="66"/>
      <c r="AX48" s="72">
        <f t="shared" si="37"/>
        <v>0</v>
      </c>
      <c r="AY48" s="72">
        <f t="shared" si="38"/>
        <v>0</v>
      </c>
      <c r="AZ48" s="301"/>
      <c r="BA48" s="72">
        <f t="shared" si="39"/>
        <v>0</v>
      </c>
      <c r="BB48" s="72">
        <f t="shared" si="40"/>
        <v>0</v>
      </c>
      <c r="BC48" s="74"/>
      <c r="BD48" s="72">
        <f t="shared" si="41"/>
        <v>0</v>
      </c>
      <c r="BE48" s="72">
        <f t="shared" si="42"/>
        <v>0</v>
      </c>
      <c r="BF48" s="301"/>
      <c r="BG48" s="44"/>
      <c r="BH48" s="44"/>
      <c r="BI48" s="44"/>
      <c r="BJ48" s="44"/>
      <c r="BK48" s="44"/>
      <c r="BM48" s="44"/>
      <c r="BN48" s="44"/>
      <c r="BO48" s="44"/>
      <c r="BP48" s="44"/>
      <c r="BQ48" s="44"/>
      <c r="BS48" s="44"/>
      <c r="BT48" s="44"/>
      <c r="BU48" s="44"/>
      <c r="BV48" s="44"/>
      <c r="BW48" s="44"/>
      <c r="BY48" s="44"/>
      <c r="BZ48" s="44"/>
      <c r="CA48" s="44"/>
      <c r="CB48" s="44"/>
      <c r="CC48" s="44"/>
      <c r="CE48" s="44"/>
      <c r="CF48" s="44"/>
      <c r="CG48" s="44"/>
      <c r="CH48" s="44"/>
      <c r="CI48" s="44"/>
      <c r="CK48" s="44"/>
      <c r="CL48" s="44"/>
      <c r="CM48" s="44"/>
      <c r="CN48" s="44"/>
      <c r="CO48" s="44"/>
    </row>
    <row r="49" spans="1:93" x14ac:dyDescent="0.25">
      <c r="A49" s="35" t="s">
        <v>45</v>
      </c>
      <c r="B49" s="35" t="s">
        <v>101</v>
      </c>
      <c r="C49" s="35" t="s">
        <v>47</v>
      </c>
      <c r="D49" s="35" t="s">
        <v>48</v>
      </c>
      <c r="E49" s="35" t="s">
        <v>48</v>
      </c>
      <c r="F49" s="17" t="str">
        <f t="shared" si="28"/>
        <v>02-5028-01-00-00</v>
      </c>
      <c r="G49" s="37" t="s">
        <v>102</v>
      </c>
      <c r="H49" s="19">
        <f t="shared" si="51"/>
        <v>10000</v>
      </c>
      <c r="I49" s="19">
        <f t="shared" si="51"/>
        <v>10000</v>
      </c>
      <c r="J49" s="19">
        <f t="shared" si="51"/>
        <v>10000</v>
      </c>
      <c r="K49" s="19">
        <f t="shared" si="51"/>
        <v>10000</v>
      </c>
      <c r="L49" s="20">
        <v>40000</v>
      </c>
      <c r="M49" s="20">
        <v>40004</v>
      </c>
      <c r="N49" s="206" t="s">
        <v>705</v>
      </c>
      <c r="P49" s="195">
        <f>INDEX('Apportionment Bases'!M$6:M$33,MATCH('PC2'!$N49,'Apportionment Bases'!$A$6:$A$33,0))</f>
        <v>0</v>
      </c>
      <c r="Q49" s="195">
        <f>INDEX('Apportionment Bases'!N$6:N$33,MATCH('PC2'!$N49,'Apportionment Bases'!$A$6:$A$33,0))</f>
        <v>0</v>
      </c>
      <c r="R49" s="199"/>
      <c r="S49" s="195">
        <f>INDEX('Apportionment Bases'!$P$6:$P$33,MATCH('PC2'!N49,'Apportionment Bases'!$A$6:$A$33,0))</f>
        <v>0.5</v>
      </c>
      <c r="T49" s="195">
        <f>INDEX('Apportionment Bases'!Q$6:Q$33,MATCH('PC2'!$N49,'Apportionment Bases'!$A$6:$A$33,0))</f>
        <v>0.5</v>
      </c>
      <c r="V49" s="72">
        <f t="shared" si="43"/>
        <v>0</v>
      </c>
      <c r="W49" s="72">
        <f t="shared" si="44"/>
        <v>0</v>
      </c>
      <c r="X49" s="66"/>
      <c r="Y49" s="72">
        <f t="shared" si="30"/>
        <v>20000</v>
      </c>
      <c r="Z49" s="72">
        <f t="shared" si="31"/>
        <v>20000</v>
      </c>
      <c r="AA49" s="48" t="str">
        <f t="shared" si="32"/>
        <v>TRUE</v>
      </c>
      <c r="AH49" s="300"/>
      <c r="AI49" s="72">
        <f t="shared" si="45"/>
        <v>0</v>
      </c>
      <c r="AJ49" s="72">
        <f t="shared" si="50"/>
        <v>0</v>
      </c>
      <c r="AK49" s="74"/>
      <c r="AL49" s="72">
        <f t="shared" si="33"/>
        <v>6000</v>
      </c>
      <c r="AM49" s="72">
        <f t="shared" si="34"/>
        <v>6153.9999999999991</v>
      </c>
      <c r="AN49" s="301"/>
      <c r="AO49" s="72">
        <f t="shared" si="46"/>
        <v>0</v>
      </c>
      <c r="AP49" s="72">
        <f t="shared" si="47"/>
        <v>0</v>
      </c>
      <c r="AQ49" s="74"/>
      <c r="AR49" s="72">
        <f t="shared" si="35"/>
        <v>4324</v>
      </c>
      <c r="AS49" s="72">
        <f t="shared" si="36"/>
        <v>4616</v>
      </c>
      <c r="AT49" s="301"/>
      <c r="AU49" s="72">
        <f t="shared" si="48"/>
        <v>0</v>
      </c>
      <c r="AV49" s="72">
        <f t="shared" si="49"/>
        <v>0</v>
      </c>
      <c r="AW49" s="66"/>
      <c r="AX49" s="72">
        <f t="shared" si="37"/>
        <v>4000</v>
      </c>
      <c r="AY49" s="72">
        <f t="shared" si="38"/>
        <v>5768</v>
      </c>
      <c r="AZ49" s="301"/>
      <c r="BA49" s="72">
        <f t="shared" si="39"/>
        <v>0</v>
      </c>
      <c r="BB49" s="72">
        <f t="shared" si="40"/>
        <v>0</v>
      </c>
      <c r="BC49" s="74"/>
      <c r="BD49" s="72">
        <f t="shared" si="41"/>
        <v>5676</v>
      </c>
      <c r="BE49" s="72">
        <f t="shared" si="42"/>
        <v>3462</v>
      </c>
      <c r="BF49" s="301"/>
      <c r="BG49" s="44"/>
      <c r="BH49" s="44"/>
      <c r="BI49" s="44"/>
      <c r="BJ49" s="44"/>
      <c r="BK49" s="44"/>
      <c r="BM49" s="44"/>
      <c r="BN49" s="44"/>
      <c r="BO49" s="44"/>
      <c r="BP49" s="44"/>
      <c r="BQ49" s="44"/>
      <c r="BS49" s="44"/>
      <c r="BT49" s="44"/>
      <c r="BU49" s="44"/>
      <c r="BV49" s="44"/>
      <c r="BW49" s="44"/>
      <c r="BY49" s="44"/>
      <c r="BZ49" s="44"/>
      <c r="CA49" s="44"/>
      <c r="CB49" s="44"/>
      <c r="CC49" s="44"/>
      <c r="CE49" s="44"/>
      <c r="CF49" s="44"/>
      <c r="CG49" s="44"/>
      <c r="CH49" s="44"/>
      <c r="CI49" s="44"/>
      <c r="CK49" s="44"/>
      <c r="CL49" s="44"/>
      <c r="CM49" s="44"/>
      <c r="CN49" s="44"/>
      <c r="CO49" s="44"/>
    </row>
    <row r="50" spans="1:93" x14ac:dyDescent="0.25">
      <c r="A50" s="35" t="s">
        <v>45</v>
      </c>
      <c r="B50" s="35" t="s">
        <v>101</v>
      </c>
      <c r="C50" s="35" t="s">
        <v>45</v>
      </c>
      <c r="D50" s="35" t="s">
        <v>48</v>
      </c>
      <c r="E50" s="35" t="s">
        <v>48</v>
      </c>
      <c r="F50" s="17" t="str">
        <f t="shared" si="28"/>
        <v>02-5028-02-00-00</v>
      </c>
      <c r="G50" s="37" t="s">
        <v>102</v>
      </c>
      <c r="H50" s="19">
        <f t="shared" si="51"/>
        <v>0</v>
      </c>
      <c r="I50" s="19">
        <f t="shared" si="51"/>
        <v>0</v>
      </c>
      <c r="J50" s="19">
        <f t="shared" si="51"/>
        <v>0</v>
      </c>
      <c r="K50" s="19">
        <f t="shared" si="51"/>
        <v>0</v>
      </c>
      <c r="L50" s="20">
        <v>0</v>
      </c>
      <c r="M50" s="20">
        <v>0</v>
      </c>
      <c r="N50" s="206" t="s">
        <v>705</v>
      </c>
      <c r="P50" s="195">
        <f>INDEX('Apportionment Bases'!M$6:M$33,MATCH('PC2'!$N50,'Apportionment Bases'!$A$6:$A$33,0))</f>
        <v>0</v>
      </c>
      <c r="Q50" s="195">
        <f>INDEX('Apportionment Bases'!N$6:N$33,MATCH('PC2'!$N50,'Apportionment Bases'!$A$6:$A$33,0))</f>
        <v>0</v>
      </c>
      <c r="R50" s="199"/>
      <c r="S50" s="195">
        <f>INDEX('Apportionment Bases'!$P$6:$P$33,MATCH('PC2'!N50,'Apportionment Bases'!$A$6:$A$33,0))</f>
        <v>0.5</v>
      </c>
      <c r="T50" s="195">
        <f>INDEX('Apportionment Bases'!Q$6:Q$33,MATCH('PC2'!$N50,'Apportionment Bases'!$A$6:$A$33,0))</f>
        <v>0.5</v>
      </c>
      <c r="V50" s="72">
        <f t="shared" si="43"/>
        <v>0</v>
      </c>
      <c r="W50" s="72">
        <f t="shared" si="44"/>
        <v>0</v>
      </c>
      <c r="X50" s="66"/>
      <c r="Y50" s="72">
        <f t="shared" si="30"/>
        <v>0</v>
      </c>
      <c r="Z50" s="72">
        <f t="shared" si="31"/>
        <v>0</v>
      </c>
      <c r="AA50" s="48" t="str">
        <f t="shared" si="32"/>
        <v>TRUE</v>
      </c>
      <c r="AH50" s="300"/>
      <c r="AI50" s="72">
        <f t="shared" si="45"/>
        <v>0</v>
      </c>
      <c r="AJ50" s="72">
        <f t="shared" si="50"/>
        <v>0</v>
      </c>
      <c r="AK50" s="74"/>
      <c r="AL50" s="72">
        <f t="shared" si="33"/>
        <v>0</v>
      </c>
      <c r="AM50" s="72">
        <f t="shared" si="34"/>
        <v>0</v>
      </c>
      <c r="AN50" s="301"/>
      <c r="AO50" s="72">
        <f t="shared" si="46"/>
        <v>0</v>
      </c>
      <c r="AP50" s="72">
        <f t="shared" si="47"/>
        <v>0</v>
      </c>
      <c r="AQ50" s="74"/>
      <c r="AR50" s="72">
        <f t="shared" si="35"/>
        <v>0</v>
      </c>
      <c r="AS50" s="72">
        <f t="shared" si="36"/>
        <v>0</v>
      </c>
      <c r="AT50" s="301"/>
      <c r="AU50" s="72">
        <f t="shared" si="48"/>
        <v>0</v>
      </c>
      <c r="AV50" s="72">
        <f t="shared" si="49"/>
        <v>0</v>
      </c>
      <c r="AW50" s="66"/>
      <c r="AX50" s="72">
        <f t="shared" si="37"/>
        <v>0</v>
      </c>
      <c r="AY50" s="72">
        <f t="shared" si="38"/>
        <v>0</v>
      </c>
      <c r="AZ50" s="301"/>
      <c r="BA50" s="72">
        <f t="shared" si="39"/>
        <v>0</v>
      </c>
      <c r="BB50" s="72">
        <f t="shared" si="40"/>
        <v>0</v>
      </c>
      <c r="BC50" s="74"/>
      <c r="BD50" s="72">
        <f t="shared" si="41"/>
        <v>0</v>
      </c>
      <c r="BE50" s="72">
        <f t="shared" si="42"/>
        <v>0</v>
      </c>
      <c r="BF50" s="301"/>
      <c r="BG50" s="44"/>
      <c r="BH50" s="44"/>
      <c r="BI50" s="44"/>
      <c r="BJ50" s="44"/>
      <c r="BK50" s="44"/>
      <c r="BM50" s="44"/>
      <c r="BN50" s="44"/>
      <c r="BO50" s="44"/>
      <c r="BP50" s="44"/>
      <c r="BQ50" s="44"/>
      <c r="BS50" s="44"/>
      <c r="BT50" s="44"/>
      <c r="BU50" s="44"/>
      <c r="BV50" s="44"/>
      <c r="BW50" s="44"/>
      <c r="BY50" s="44"/>
      <c r="BZ50" s="44"/>
      <c r="CA50" s="44"/>
      <c r="CB50" s="44"/>
      <c r="CC50" s="44"/>
      <c r="CE50" s="44"/>
      <c r="CF50" s="44"/>
      <c r="CG50" s="44"/>
      <c r="CH50" s="44"/>
      <c r="CI50" s="44"/>
      <c r="CK50" s="44"/>
      <c r="CL50" s="44"/>
      <c r="CM50" s="44"/>
      <c r="CN50" s="44"/>
      <c r="CO50" s="44"/>
    </row>
    <row r="51" spans="1:93" x14ac:dyDescent="0.25">
      <c r="A51" s="35" t="s">
        <v>45</v>
      </c>
      <c r="B51" s="35" t="s">
        <v>103</v>
      </c>
      <c r="C51" s="35" t="s">
        <v>47</v>
      </c>
      <c r="D51" s="35" t="s">
        <v>48</v>
      </c>
      <c r="E51" s="35" t="s">
        <v>48</v>
      </c>
      <c r="F51" s="17" t="str">
        <f t="shared" si="28"/>
        <v>02-5030-01-00-00</v>
      </c>
      <c r="G51" s="37" t="s">
        <v>104</v>
      </c>
      <c r="H51" s="19">
        <f t="shared" si="51"/>
        <v>250</v>
      </c>
      <c r="I51" s="19">
        <f t="shared" si="51"/>
        <v>250</v>
      </c>
      <c r="J51" s="19">
        <f t="shared" si="51"/>
        <v>250</v>
      </c>
      <c r="K51" s="19">
        <f t="shared" si="51"/>
        <v>250</v>
      </c>
      <c r="L51" s="20">
        <v>1000</v>
      </c>
      <c r="M51" s="20">
        <v>2000</v>
      </c>
      <c r="N51" s="206" t="s">
        <v>705</v>
      </c>
      <c r="P51" s="195">
        <f>INDEX('Apportionment Bases'!M$6:M$33,MATCH('PC2'!$N51,'Apportionment Bases'!$A$6:$A$33,0))</f>
        <v>0</v>
      </c>
      <c r="Q51" s="195">
        <f>INDEX('Apportionment Bases'!N$6:N$33,MATCH('PC2'!$N51,'Apportionment Bases'!$A$6:$A$33,0))</f>
        <v>0</v>
      </c>
      <c r="R51" s="199"/>
      <c r="S51" s="195">
        <f>INDEX('Apportionment Bases'!$P$6:$P$33,MATCH('PC2'!N51,'Apportionment Bases'!$A$6:$A$33,0))</f>
        <v>0.5</v>
      </c>
      <c r="T51" s="195">
        <f>INDEX('Apportionment Bases'!Q$6:Q$33,MATCH('PC2'!$N51,'Apportionment Bases'!$A$6:$A$33,0))</f>
        <v>0.5</v>
      </c>
      <c r="V51" s="72">
        <f t="shared" si="43"/>
        <v>0</v>
      </c>
      <c r="W51" s="72">
        <f t="shared" si="44"/>
        <v>0</v>
      </c>
      <c r="X51" s="66"/>
      <c r="Y51" s="72">
        <f t="shared" si="30"/>
        <v>500</v>
      </c>
      <c r="Z51" s="72">
        <f t="shared" si="31"/>
        <v>500</v>
      </c>
      <c r="AA51" s="48" t="str">
        <f t="shared" si="32"/>
        <v>TRUE</v>
      </c>
      <c r="AH51" s="300"/>
      <c r="AI51" s="72">
        <f t="shared" si="45"/>
        <v>0</v>
      </c>
      <c r="AJ51" s="72">
        <f t="shared" si="50"/>
        <v>0</v>
      </c>
      <c r="AK51" s="74"/>
      <c r="AL51" s="72">
        <f t="shared" si="33"/>
        <v>150</v>
      </c>
      <c r="AM51" s="72">
        <f t="shared" si="34"/>
        <v>153.85</v>
      </c>
      <c r="AN51" s="301"/>
      <c r="AO51" s="72">
        <f t="shared" si="46"/>
        <v>0</v>
      </c>
      <c r="AP51" s="72">
        <f t="shared" si="47"/>
        <v>0</v>
      </c>
      <c r="AQ51" s="74"/>
      <c r="AR51" s="72">
        <f t="shared" si="35"/>
        <v>108.10000000000001</v>
      </c>
      <c r="AS51" s="72">
        <f t="shared" si="36"/>
        <v>115.4</v>
      </c>
      <c r="AT51" s="301"/>
      <c r="AU51" s="72">
        <f t="shared" si="48"/>
        <v>0</v>
      </c>
      <c r="AV51" s="72">
        <f t="shared" si="49"/>
        <v>0</v>
      </c>
      <c r="AW51" s="66"/>
      <c r="AX51" s="72">
        <f t="shared" si="37"/>
        <v>100</v>
      </c>
      <c r="AY51" s="72">
        <f t="shared" si="38"/>
        <v>144.19999999999999</v>
      </c>
      <c r="AZ51" s="301"/>
      <c r="BA51" s="72">
        <f t="shared" si="39"/>
        <v>0</v>
      </c>
      <c r="BB51" s="72">
        <f t="shared" si="40"/>
        <v>0</v>
      </c>
      <c r="BC51" s="74"/>
      <c r="BD51" s="72">
        <f t="shared" si="41"/>
        <v>141.9</v>
      </c>
      <c r="BE51" s="72">
        <f t="shared" si="42"/>
        <v>86.55</v>
      </c>
      <c r="BF51" s="301"/>
      <c r="BG51" s="44"/>
      <c r="BH51" s="44"/>
      <c r="BI51" s="44"/>
      <c r="BJ51" s="44"/>
      <c r="BK51" s="44"/>
      <c r="BM51" s="44"/>
      <c r="BN51" s="44"/>
      <c r="BO51" s="44"/>
      <c r="BP51" s="44"/>
      <c r="BQ51" s="44"/>
      <c r="BS51" s="44"/>
      <c r="BT51" s="44"/>
      <c r="BU51" s="44"/>
      <c r="BV51" s="44"/>
      <c r="BW51" s="44"/>
      <c r="BY51" s="44"/>
      <c r="BZ51" s="44"/>
      <c r="CA51" s="44"/>
      <c r="CB51" s="44"/>
      <c r="CC51" s="44"/>
      <c r="CE51" s="44"/>
      <c r="CF51" s="44"/>
      <c r="CG51" s="44"/>
      <c r="CH51" s="44"/>
      <c r="CI51" s="44"/>
      <c r="CK51" s="44"/>
      <c r="CL51" s="44"/>
      <c r="CM51" s="44"/>
      <c r="CN51" s="44"/>
      <c r="CO51" s="44"/>
    </row>
    <row r="52" spans="1:93" x14ac:dyDescent="0.25">
      <c r="A52" s="35" t="s">
        <v>45</v>
      </c>
      <c r="B52" s="35" t="s">
        <v>105</v>
      </c>
      <c r="C52" s="35" t="s">
        <v>47</v>
      </c>
      <c r="D52" s="35" t="s">
        <v>48</v>
      </c>
      <c r="E52" s="35" t="s">
        <v>48</v>
      </c>
      <c r="F52" s="17" t="str">
        <f t="shared" si="28"/>
        <v>02-5031-01-00-00</v>
      </c>
      <c r="G52" s="36" t="s">
        <v>106</v>
      </c>
      <c r="H52" s="19">
        <f t="shared" si="51"/>
        <v>0</v>
      </c>
      <c r="I52" s="19">
        <f t="shared" si="51"/>
        <v>0</v>
      </c>
      <c r="J52" s="19">
        <f t="shared" si="51"/>
        <v>0</v>
      </c>
      <c r="K52" s="19">
        <f t="shared" si="51"/>
        <v>0</v>
      </c>
      <c r="L52" s="20">
        <v>0</v>
      </c>
      <c r="M52" s="20">
        <v>0</v>
      </c>
      <c r="N52" s="206" t="s">
        <v>705</v>
      </c>
      <c r="P52" s="195">
        <f>INDEX('Apportionment Bases'!M$6:M$33,MATCH('PC2'!$N52,'Apportionment Bases'!$A$6:$A$33,0))</f>
        <v>0</v>
      </c>
      <c r="Q52" s="195">
        <f>INDEX('Apportionment Bases'!N$6:N$33,MATCH('PC2'!$N52,'Apportionment Bases'!$A$6:$A$33,0))</f>
        <v>0</v>
      </c>
      <c r="R52" s="199"/>
      <c r="S52" s="195">
        <f>INDEX('Apportionment Bases'!$P$6:$P$33,MATCH('PC2'!N52,'Apportionment Bases'!$A$6:$A$33,0))</f>
        <v>0.5</v>
      </c>
      <c r="T52" s="195">
        <f>INDEX('Apportionment Bases'!Q$6:Q$33,MATCH('PC2'!$N52,'Apportionment Bases'!$A$6:$A$33,0))</f>
        <v>0.5</v>
      </c>
      <c r="V52" s="72">
        <f t="shared" si="43"/>
        <v>0</v>
      </c>
      <c r="W52" s="72">
        <f t="shared" si="44"/>
        <v>0</v>
      </c>
      <c r="X52" s="66"/>
      <c r="Y52" s="72">
        <f t="shared" si="30"/>
        <v>0</v>
      </c>
      <c r="Z52" s="72">
        <f t="shared" si="31"/>
        <v>0</v>
      </c>
      <c r="AA52" s="48" t="str">
        <f t="shared" si="32"/>
        <v>TRUE</v>
      </c>
      <c r="AH52" s="300"/>
      <c r="AI52" s="72">
        <f t="shared" si="45"/>
        <v>0</v>
      </c>
      <c r="AJ52" s="72">
        <f t="shared" si="50"/>
        <v>0</v>
      </c>
      <c r="AK52" s="74"/>
      <c r="AL52" s="72">
        <f t="shared" si="33"/>
        <v>0</v>
      </c>
      <c r="AM52" s="72">
        <f t="shared" si="34"/>
        <v>0</v>
      </c>
      <c r="AN52" s="301"/>
      <c r="AO52" s="72">
        <f t="shared" si="46"/>
        <v>0</v>
      </c>
      <c r="AP52" s="72">
        <f t="shared" si="47"/>
        <v>0</v>
      </c>
      <c r="AQ52" s="74"/>
      <c r="AR52" s="72">
        <f t="shared" si="35"/>
        <v>0</v>
      </c>
      <c r="AS52" s="72">
        <f t="shared" si="36"/>
        <v>0</v>
      </c>
      <c r="AT52" s="301"/>
      <c r="AU52" s="72">
        <f t="shared" si="48"/>
        <v>0</v>
      </c>
      <c r="AV52" s="72">
        <f t="shared" si="49"/>
        <v>0</v>
      </c>
      <c r="AW52" s="66"/>
      <c r="AX52" s="72">
        <f t="shared" si="37"/>
        <v>0</v>
      </c>
      <c r="AY52" s="72">
        <f t="shared" si="38"/>
        <v>0</v>
      </c>
      <c r="AZ52" s="301"/>
      <c r="BA52" s="72">
        <f t="shared" si="39"/>
        <v>0</v>
      </c>
      <c r="BB52" s="72">
        <f t="shared" si="40"/>
        <v>0</v>
      </c>
      <c r="BC52" s="74"/>
      <c r="BD52" s="72">
        <f t="shared" si="41"/>
        <v>0</v>
      </c>
      <c r="BE52" s="72">
        <f t="shared" si="42"/>
        <v>0</v>
      </c>
      <c r="BF52" s="301"/>
      <c r="BG52" s="44"/>
      <c r="BH52" s="44"/>
      <c r="BI52" s="44"/>
      <c r="BJ52" s="44"/>
      <c r="BK52" s="44"/>
      <c r="BM52" s="44"/>
      <c r="BN52" s="44"/>
      <c r="BO52" s="44"/>
      <c r="BP52" s="44"/>
      <c r="BQ52" s="44"/>
      <c r="BS52" s="44"/>
      <c r="BT52" s="44"/>
      <c r="BU52" s="44"/>
      <c r="BV52" s="44"/>
      <c r="BW52" s="44"/>
      <c r="BY52" s="44"/>
      <c r="BZ52" s="44"/>
      <c r="CA52" s="44"/>
      <c r="CB52" s="44"/>
      <c r="CC52" s="44"/>
      <c r="CE52" s="44"/>
      <c r="CF52" s="44"/>
      <c r="CG52" s="44"/>
      <c r="CH52" s="44"/>
      <c r="CI52" s="44"/>
      <c r="CK52" s="44"/>
      <c r="CL52" s="44"/>
      <c r="CM52" s="44"/>
      <c r="CN52" s="44"/>
      <c r="CO52" s="44"/>
    </row>
    <row r="53" spans="1:93" x14ac:dyDescent="0.25">
      <c r="A53" s="35" t="s">
        <v>45</v>
      </c>
      <c r="B53" s="35" t="s">
        <v>105</v>
      </c>
      <c r="C53" s="35" t="s">
        <v>45</v>
      </c>
      <c r="D53" s="35" t="s">
        <v>48</v>
      </c>
      <c r="E53" s="35" t="s">
        <v>48</v>
      </c>
      <c r="F53" s="17" t="str">
        <f t="shared" si="28"/>
        <v>02-5031-02-00-00</v>
      </c>
      <c r="G53" s="37" t="s">
        <v>106</v>
      </c>
      <c r="H53" s="19">
        <f t="shared" si="51"/>
        <v>7600</v>
      </c>
      <c r="I53" s="19">
        <f t="shared" si="51"/>
        <v>7600</v>
      </c>
      <c r="J53" s="19">
        <f t="shared" si="51"/>
        <v>7600</v>
      </c>
      <c r="K53" s="19">
        <f t="shared" si="51"/>
        <v>7600</v>
      </c>
      <c r="L53" s="20">
        <v>30400</v>
      </c>
      <c r="M53" s="20">
        <v>34704</v>
      </c>
      <c r="N53" s="206" t="s">
        <v>705</v>
      </c>
      <c r="P53" s="195">
        <f>INDEX('Apportionment Bases'!M$6:M$33,MATCH('PC2'!$N53,'Apportionment Bases'!$A$6:$A$33,0))</f>
        <v>0</v>
      </c>
      <c r="Q53" s="195">
        <f>INDEX('Apportionment Bases'!N$6:N$33,MATCH('PC2'!$N53,'Apportionment Bases'!$A$6:$A$33,0))</f>
        <v>0</v>
      </c>
      <c r="R53" s="199"/>
      <c r="S53" s="195">
        <f>INDEX('Apportionment Bases'!$P$6:$P$33,MATCH('PC2'!N53,'Apportionment Bases'!$A$6:$A$33,0))</f>
        <v>0.5</v>
      </c>
      <c r="T53" s="195">
        <f>INDEX('Apportionment Bases'!Q$6:Q$33,MATCH('PC2'!$N53,'Apportionment Bases'!$A$6:$A$33,0))</f>
        <v>0.5</v>
      </c>
      <c r="V53" s="72">
        <f t="shared" si="43"/>
        <v>0</v>
      </c>
      <c r="W53" s="72">
        <f t="shared" si="44"/>
        <v>0</v>
      </c>
      <c r="X53" s="66"/>
      <c r="Y53" s="72">
        <f t="shared" si="30"/>
        <v>15200</v>
      </c>
      <c r="Z53" s="72">
        <f t="shared" si="31"/>
        <v>15200</v>
      </c>
      <c r="AA53" s="48" t="str">
        <f t="shared" si="32"/>
        <v>TRUE</v>
      </c>
      <c r="AH53" s="300"/>
      <c r="AI53" s="72">
        <f t="shared" si="45"/>
        <v>0</v>
      </c>
      <c r="AJ53" s="72">
        <f t="shared" si="50"/>
        <v>0</v>
      </c>
      <c r="AK53" s="74"/>
      <c r="AL53" s="72">
        <f t="shared" si="33"/>
        <v>4560</v>
      </c>
      <c r="AM53" s="72">
        <f t="shared" si="34"/>
        <v>4677.04</v>
      </c>
      <c r="AN53" s="301"/>
      <c r="AO53" s="72">
        <f t="shared" si="46"/>
        <v>0</v>
      </c>
      <c r="AP53" s="72">
        <f t="shared" si="47"/>
        <v>0</v>
      </c>
      <c r="AQ53" s="74"/>
      <c r="AR53" s="72">
        <f t="shared" si="35"/>
        <v>3286.2400000000002</v>
      </c>
      <c r="AS53" s="72">
        <f t="shared" si="36"/>
        <v>3508.16</v>
      </c>
      <c r="AT53" s="301"/>
      <c r="AU53" s="72">
        <f t="shared" si="48"/>
        <v>0</v>
      </c>
      <c r="AV53" s="72">
        <f t="shared" si="49"/>
        <v>0</v>
      </c>
      <c r="AW53" s="66"/>
      <c r="AX53" s="72">
        <f t="shared" si="37"/>
        <v>3040</v>
      </c>
      <c r="AY53" s="72">
        <f t="shared" si="38"/>
        <v>4383.68</v>
      </c>
      <c r="AZ53" s="301"/>
      <c r="BA53" s="72">
        <f t="shared" si="39"/>
        <v>0</v>
      </c>
      <c r="BB53" s="72">
        <f t="shared" si="40"/>
        <v>0</v>
      </c>
      <c r="BC53" s="74"/>
      <c r="BD53" s="72">
        <f t="shared" si="41"/>
        <v>4313.76</v>
      </c>
      <c r="BE53" s="72">
        <f t="shared" si="42"/>
        <v>2631.12</v>
      </c>
      <c r="BF53" s="301"/>
      <c r="BG53" s="44"/>
      <c r="BH53" s="44"/>
      <c r="BI53" s="44"/>
      <c r="BJ53" s="44"/>
      <c r="BK53" s="44"/>
      <c r="BM53" s="44"/>
      <c r="BN53" s="44"/>
      <c r="BO53" s="44"/>
      <c r="BP53" s="44"/>
      <c r="BQ53" s="44"/>
      <c r="BS53" s="44"/>
      <c r="BT53" s="44"/>
      <c r="BU53" s="44"/>
      <c r="BV53" s="44"/>
      <c r="BW53" s="44"/>
      <c r="BY53" s="44"/>
      <c r="BZ53" s="44"/>
      <c r="CA53" s="44"/>
      <c r="CB53" s="44"/>
      <c r="CC53" s="44"/>
      <c r="CE53" s="44"/>
      <c r="CF53" s="44"/>
      <c r="CG53" s="44"/>
      <c r="CH53" s="44"/>
      <c r="CI53" s="44"/>
      <c r="CK53" s="44"/>
      <c r="CL53" s="44"/>
      <c r="CM53" s="44"/>
      <c r="CN53" s="44"/>
      <c r="CO53" s="44"/>
    </row>
    <row r="54" spans="1:93" x14ac:dyDescent="0.25">
      <c r="A54" s="35" t="s">
        <v>45</v>
      </c>
      <c r="B54" s="35" t="s">
        <v>107</v>
      </c>
      <c r="C54" s="35" t="s">
        <v>47</v>
      </c>
      <c r="D54" s="35" t="s">
        <v>48</v>
      </c>
      <c r="E54" s="35" t="s">
        <v>48</v>
      </c>
      <c r="F54" s="17" t="str">
        <f t="shared" si="28"/>
        <v>02-5032-01-00-00</v>
      </c>
      <c r="G54" s="37" t="s">
        <v>108</v>
      </c>
      <c r="H54" s="19">
        <f t="shared" si="51"/>
        <v>750</v>
      </c>
      <c r="I54" s="19">
        <f t="shared" si="51"/>
        <v>750</v>
      </c>
      <c r="J54" s="19">
        <f t="shared" si="51"/>
        <v>750</v>
      </c>
      <c r="K54" s="19">
        <f t="shared" si="51"/>
        <v>750</v>
      </c>
      <c r="L54" s="20">
        <v>3000</v>
      </c>
      <c r="M54" s="20">
        <v>3000</v>
      </c>
      <c r="N54" s="206" t="s">
        <v>705</v>
      </c>
      <c r="P54" s="195">
        <f>INDEX('Apportionment Bases'!M$6:M$33,MATCH('PC2'!$N54,'Apportionment Bases'!$A$6:$A$33,0))</f>
        <v>0</v>
      </c>
      <c r="Q54" s="195">
        <f>INDEX('Apportionment Bases'!N$6:N$33,MATCH('PC2'!$N54,'Apportionment Bases'!$A$6:$A$33,0))</f>
        <v>0</v>
      </c>
      <c r="R54" s="199"/>
      <c r="S54" s="195">
        <f>INDEX('Apportionment Bases'!$P$6:$P$33,MATCH('PC2'!N54,'Apportionment Bases'!$A$6:$A$33,0))</f>
        <v>0.5</v>
      </c>
      <c r="T54" s="195">
        <f>INDEX('Apportionment Bases'!Q$6:Q$33,MATCH('PC2'!$N54,'Apportionment Bases'!$A$6:$A$33,0))</f>
        <v>0.5</v>
      </c>
      <c r="V54" s="72">
        <f t="shared" si="43"/>
        <v>0</v>
      </c>
      <c r="W54" s="72">
        <f t="shared" si="44"/>
        <v>0</v>
      </c>
      <c r="X54" s="66"/>
      <c r="Y54" s="72">
        <f t="shared" si="30"/>
        <v>1500</v>
      </c>
      <c r="Z54" s="72">
        <f t="shared" si="31"/>
        <v>1500</v>
      </c>
      <c r="AA54" s="48" t="str">
        <f t="shared" si="32"/>
        <v>TRUE</v>
      </c>
      <c r="AH54" s="300"/>
      <c r="AI54" s="72">
        <f t="shared" si="45"/>
        <v>0</v>
      </c>
      <c r="AJ54" s="72">
        <f t="shared" si="50"/>
        <v>0</v>
      </c>
      <c r="AK54" s="74"/>
      <c r="AL54" s="72">
        <f t="shared" si="33"/>
        <v>450</v>
      </c>
      <c r="AM54" s="72">
        <f t="shared" si="34"/>
        <v>461.54999999999995</v>
      </c>
      <c r="AN54" s="301"/>
      <c r="AO54" s="72">
        <f t="shared" si="46"/>
        <v>0</v>
      </c>
      <c r="AP54" s="72">
        <f t="shared" si="47"/>
        <v>0</v>
      </c>
      <c r="AQ54" s="74"/>
      <c r="AR54" s="72">
        <f t="shared" si="35"/>
        <v>324.3</v>
      </c>
      <c r="AS54" s="72">
        <f t="shared" si="36"/>
        <v>346.2</v>
      </c>
      <c r="AT54" s="301"/>
      <c r="AU54" s="72">
        <f t="shared" si="48"/>
        <v>0</v>
      </c>
      <c r="AV54" s="72">
        <f t="shared" si="49"/>
        <v>0</v>
      </c>
      <c r="AW54" s="66"/>
      <c r="AX54" s="72">
        <f t="shared" si="37"/>
        <v>300</v>
      </c>
      <c r="AY54" s="72">
        <f t="shared" si="38"/>
        <v>432.59999999999997</v>
      </c>
      <c r="AZ54" s="301"/>
      <c r="BA54" s="72">
        <f t="shared" si="39"/>
        <v>0</v>
      </c>
      <c r="BB54" s="72">
        <f t="shared" si="40"/>
        <v>0</v>
      </c>
      <c r="BC54" s="74"/>
      <c r="BD54" s="72">
        <f t="shared" si="41"/>
        <v>425.7</v>
      </c>
      <c r="BE54" s="72">
        <f t="shared" si="42"/>
        <v>259.65000000000003</v>
      </c>
      <c r="BF54" s="301"/>
      <c r="BG54" s="44"/>
      <c r="BH54" s="44"/>
      <c r="BI54" s="44"/>
      <c r="BJ54" s="44"/>
      <c r="BK54" s="44"/>
      <c r="BM54" s="44"/>
      <c r="BN54" s="44"/>
      <c r="BO54" s="44"/>
      <c r="BP54" s="44"/>
      <c r="BQ54" s="44"/>
      <c r="BS54" s="44"/>
      <c r="BT54" s="44"/>
      <c r="BU54" s="44"/>
      <c r="BV54" s="44"/>
      <c r="BW54" s="44"/>
      <c r="BY54" s="44"/>
      <c r="BZ54" s="44"/>
      <c r="CA54" s="44"/>
      <c r="CB54" s="44"/>
      <c r="CC54" s="44"/>
      <c r="CE54" s="44"/>
      <c r="CF54" s="44"/>
      <c r="CG54" s="44"/>
      <c r="CH54" s="44"/>
      <c r="CI54" s="44"/>
      <c r="CK54" s="44"/>
      <c r="CL54" s="44"/>
      <c r="CM54" s="44"/>
      <c r="CN54" s="44"/>
      <c r="CO54" s="44"/>
    </row>
    <row r="55" spans="1:93" x14ac:dyDescent="0.25">
      <c r="A55" s="110" t="s">
        <v>45</v>
      </c>
      <c r="B55" s="110" t="s">
        <v>109</v>
      </c>
      <c r="C55" s="110" t="s">
        <v>47</v>
      </c>
      <c r="D55" s="110" t="s">
        <v>48</v>
      </c>
      <c r="E55" s="110" t="s">
        <v>48</v>
      </c>
      <c r="F55" s="110" t="str">
        <f t="shared" si="28"/>
        <v>02-5033-01-00-00</v>
      </c>
      <c r="G55" s="62" t="s">
        <v>110</v>
      </c>
      <c r="H55" s="19">
        <f t="shared" si="51"/>
        <v>250</v>
      </c>
      <c r="I55" s="19">
        <f t="shared" si="51"/>
        <v>250</v>
      </c>
      <c r="J55" s="19">
        <f t="shared" si="51"/>
        <v>250</v>
      </c>
      <c r="K55" s="19">
        <f t="shared" si="51"/>
        <v>250</v>
      </c>
      <c r="L55" s="20">
        <v>1000</v>
      </c>
      <c r="M55" s="20">
        <v>1016</v>
      </c>
      <c r="N55" s="206" t="s">
        <v>705</v>
      </c>
      <c r="P55" s="195">
        <f>INDEX('Apportionment Bases'!M$6:M$33,MATCH('PC2'!$N55,'Apportionment Bases'!$A$6:$A$33,0))</f>
        <v>0</v>
      </c>
      <c r="Q55" s="195">
        <f>INDEX('Apportionment Bases'!N$6:N$33,MATCH('PC2'!$N55,'Apportionment Bases'!$A$6:$A$33,0))</f>
        <v>0</v>
      </c>
      <c r="R55" s="199"/>
      <c r="S55" s="195">
        <f>INDEX('Apportionment Bases'!$P$6:$P$33,MATCH('PC2'!N55,'Apportionment Bases'!$A$6:$A$33,0))</f>
        <v>0.5</v>
      </c>
      <c r="T55" s="195">
        <f>INDEX('Apportionment Bases'!Q$6:Q$33,MATCH('PC2'!$N55,'Apportionment Bases'!$A$6:$A$33,0))</f>
        <v>0.5</v>
      </c>
      <c r="V55" s="72">
        <f t="shared" si="43"/>
        <v>0</v>
      </c>
      <c r="W55" s="72">
        <f t="shared" si="44"/>
        <v>0</v>
      </c>
      <c r="X55" s="66"/>
      <c r="Y55" s="72">
        <f t="shared" ref="Y55:Y86" si="52">S55*$L55</f>
        <v>500</v>
      </c>
      <c r="Z55" s="72">
        <f t="shared" ref="Z55:Z86" si="53">T55*$L55</f>
        <v>500</v>
      </c>
      <c r="AA55" s="48" t="str">
        <f t="shared" ref="AA55:AA86" si="54">IF(SUM(V55:Z55)=L55,"TRUE","FALSE")</f>
        <v>TRUE</v>
      </c>
      <c r="AH55" s="300"/>
      <c r="AI55" s="72">
        <f t="shared" si="45"/>
        <v>0</v>
      </c>
      <c r="AJ55" s="72">
        <f t="shared" si="50"/>
        <v>0</v>
      </c>
      <c r="AK55" s="74"/>
      <c r="AL55" s="72">
        <f t="shared" ref="AL55:AL86" si="55">$AF$7*$Y55</f>
        <v>150</v>
      </c>
      <c r="AM55" s="72">
        <f t="shared" ref="AM55:AM86" si="56">$AG$7*$Z55</f>
        <v>153.85</v>
      </c>
      <c r="AN55" s="301"/>
      <c r="AO55" s="72">
        <f t="shared" si="46"/>
        <v>0</v>
      </c>
      <c r="AP55" s="72">
        <f t="shared" si="47"/>
        <v>0</v>
      </c>
      <c r="AQ55" s="74"/>
      <c r="AR55" s="72">
        <f t="shared" ref="AR55:AR86" si="57">$AF$8*$Y55</f>
        <v>108.10000000000001</v>
      </c>
      <c r="AS55" s="72">
        <f t="shared" ref="AS55:AS86" si="58">$AG$8*$Z55</f>
        <v>115.4</v>
      </c>
      <c r="AT55" s="301"/>
      <c r="AU55" s="72">
        <f t="shared" si="48"/>
        <v>0</v>
      </c>
      <c r="AV55" s="72">
        <f t="shared" si="49"/>
        <v>0</v>
      </c>
      <c r="AW55" s="66"/>
      <c r="AX55" s="72">
        <f t="shared" ref="AX55:AX86" si="59">$AF$9*$Y55</f>
        <v>100</v>
      </c>
      <c r="AY55" s="72">
        <f t="shared" ref="AY55:AY86" si="60">$AG$9*$Z55</f>
        <v>144.19999999999999</v>
      </c>
      <c r="AZ55" s="301"/>
      <c r="BA55" s="72">
        <f t="shared" si="39"/>
        <v>0</v>
      </c>
      <c r="BB55" s="72">
        <f t="shared" si="40"/>
        <v>0</v>
      </c>
      <c r="BC55" s="74"/>
      <c r="BD55" s="72">
        <f t="shared" ref="BD55:BD86" si="61">$AF$10*$Y55</f>
        <v>141.9</v>
      </c>
      <c r="BE55" s="72">
        <f t="shared" ref="BE55:BE86" si="62">$AG$10*$Z55</f>
        <v>86.55</v>
      </c>
      <c r="BF55" s="301"/>
      <c r="BG55" s="44"/>
      <c r="BH55" s="44"/>
      <c r="BI55" s="44"/>
      <c r="BJ55" s="44"/>
      <c r="BK55" s="44"/>
      <c r="BM55" s="44"/>
      <c r="BN55" s="44"/>
      <c r="BO55" s="44"/>
      <c r="BP55" s="44"/>
      <c r="BQ55" s="44"/>
      <c r="BS55" s="44"/>
      <c r="BT55" s="44"/>
      <c r="BU55" s="44"/>
      <c r="BV55" s="44"/>
      <c r="BW55" s="44"/>
      <c r="BY55" s="44"/>
      <c r="BZ55" s="44"/>
      <c r="CA55" s="44"/>
      <c r="CB55" s="44"/>
      <c r="CC55" s="44"/>
      <c r="CE55" s="44"/>
      <c r="CF55" s="44"/>
      <c r="CG55" s="44"/>
      <c r="CH55" s="44"/>
      <c r="CI55" s="44"/>
      <c r="CK55" s="44"/>
      <c r="CL55" s="44"/>
      <c r="CM55" s="44"/>
      <c r="CN55" s="44"/>
      <c r="CO55" s="44"/>
    </row>
    <row r="56" spans="1:93" x14ac:dyDescent="0.25">
      <c r="A56" s="110" t="s">
        <v>45</v>
      </c>
      <c r="B56" s="110" t="s">
        <v>109</v>
      </c>
      <c r="C56" s="110" t="s">
        <v>45</v>
      </c>
      <c r="D56" s="110" t="s">
        <v>48</v>
      </c>
      <c r="E56" s="110" t="s">
        <v>48</v>
      </c>
      <c r="F56" s="110" t="str">
        <f t="shared" si="28"/>
        <v>02-5033-02-00-00</v>
      </c>
      <c r="G56" s="62" t="s">
        <v>110</v>
      </c>
      <c r="H56" s="19">
        <f t="shared" si="51"/>
        <v>0</v>
      </c>
      <c r="I56" s="19">
        <f t="shared" si="51"/>
        <v>0</v>
      </c>
      <c r="J56" s="19">
        <f t="shared" si="51"/>
        <v>0</v>
      </c>
      <c r="K56" s="19">
        <f t="shared" si="51"/>
        <v>0</v>
      </c>
      <c r="L56" s="20">
        <v>0</v>
      </c>
      <c r="M56" s="20">
        <v>0</v>
      </c>
      <c r="N56" s="206" t="s">
        <v>705</v>
      </c>
      <c r="P56" s="195">
        <f>INDEX('Apportionment Bases'!M$6:M$33,MATCH('PC2'!$N56,'Apportionment Bases'!$A$6:$A$33,0))</f>
        <v>0</v>
      </c>
      <c r="Q56" s="195">
        <f>INDEX('Apportionment Bases'!N$6:N$33,MATCH('PC2'!$N56,'Apportionment Bases'!$A$6:$A$33,0))</f>
        <v>0</v>
      </c>
      <c r="R56" s="199"/>
      <c r="S56" s="195">
        <f>INDEX('Apportionment Bases'!$P$6:$P$33,MATCH('PC2'!N56,'Apportionment Bases'!$A$6:$A$33,0))</f>
        <v>0.5</v>
      </c>
      <c r="T56" s="195">
        <f>INDEX('Apportionment Bases'!Q$6:Q$33,MATCH('PC2'!$N56,'Apportionment Bases'!$A$6:$A$33,0))</f>
        <v>0.5</v>
      </c>
      <c r="V56" s="72">
        <f t="shared" si="43"/>
        <v>0</v>
      </c>
      <c r="W56" s="72">
        <f t="shared" si="44"/>
        <v>0</v>
      </c>
      <c r="X56" s="66"/>
      <c r="Y56" s="72">
        <f t="shared" si="52"/>
        <v>0</v>
      </c>
      <c r="Z56" s="72">
        <f t="shared" si="53"/>
        <v>0</v>
      </c>
      <c r="AA56" s="48" t="str">
        <f t="shared" si="54"/>
        <v>TRUE</v>
      </c>
      <c r="AH56" s="300"/>
      <c r="AI56" s="72">
        <f t="shared" si="45"/>
        <v>0</v>
      </c>
      <c r="AJ56" s="72">
        <f t="shared" si="50"/>
        <v>0</v>
      </c>
      <c r="AK56" s="74"/>
      <c r="AL56" s="72">
        <f t="shared" si="55"/>
        <v>0</v>
      </c>
      <c r="AM56" s="72">
        <f t="shared" si="56"/>
        <v>0</v>
      </c>
      <c r="AN56" s="301"/>
      <c r="AO56" s="72">
        <f t="shared" si="46"/>
        <v>0</v>
      </c>
      <c r="AP56" s="72">
        <f t="shared" si="47"/>
        <v>0</v>
      </c>
      <c r="AQ56" s="74"/>
      <c r="AR56" s="72">
        <f t="shared" si="57"/>
        <v>0</v>
      </c>
      <c r="AS56" s="72">
        <f t="shared" si="58"/>
        <v>0</v>
      </c>
      <c r="AT56" s="301"/>
      <c r="AU56" s="72">
        <f t="shared" si="48"/>
        <v>0</v>
      </c>
      <c r="AV56" s="72">
        <f t="shared" si="49"/>
        <v>0</v>
      </c>
      <c r="AW56" s="66"/>
      <c r="AX56" s="72">
        <f t="shared" si="59"/>
        <v>0</v>
      </c>
      <c r="AY56" s="72">
        <f t="shared" si="60"/>
        <v>0</v>
      </c>
      <c r="AZ56" s="301"/>
      <c r="BA56" s="72">
        <f t="shared" si="39"/>
        <v>0</v>
      </c>
      <c r="BB56" s="72">
        <f t="shared" si="40"/>
        <v>0</v>
      </c>
      <c r="BC56" s="74"/>
      <c r="BD56" s="72">
        <f t="shared" si="61"/>
        <v>0</v>
      </c>
      <c r="BE56" s="72">
        <f t="shared" si="62"/>
        <v>0</v>
      </c>
      <c r="BF56" s="301"/>
      <c r="BG56" s="44"/>
      <c r="BH56" s="44"/>
      <c r="BI56" s="44"/>
      <c r="BJ56" s="44"/>
      <c r="BK56" s="44"/>
      <c r="BM56" s="44"/>
      <c r="BN56" s="44"/>
      <c r="BO56" s="44"/>
      <c r="BP56" s="44"/>
      <c r="BQ56" s="44"/>
      <c r="BS56" s="44"/>
      <c r="BT56" s="44"/>
      <c r="BU56" s="44"/>
      <c r="BV56" s="44"/>
      <c r="BW56" s="44"/>
      <c r="BY56" s="44"/>
      <c r="BZ56" s="44"/>
      <c r="CA56" s="44"/>
      <c r="CB56" s="44"/>
      <c r="CC56" s="44"/>
      <c r="CE56" s="44"/>
      <c r="CF56" s="44"/>
      <c r="CG56" s="44"/>
      <c r="CH56" s="44"/>
      <c r="CI56" s="44"/>
      <c r="CK56" s="44"/>
      <c r="CL56" s="44"/>
      <c r="CM56" s="44"/>
      <c r="CN56" s="44"/>
      <c r="CO56" s="44"/>
    </row>
    <row r="57" spans="1:93" x14ac:dyDescent="0.25">
      <c r="A57" s="35" t="s">
        <v>45</v>
      </c>
      <c r="B57" s="35" t="s">
        <v>111</v>
      </c>
      <c r="C57" s="35" t="s">
        <v>47</v>
      </c>
      <c r="D57" s="35" t="s">
        <v>48</v>
      </c>
      <c r="E57" s="35" t="s">
        <v>48</v>
      </c>
      <c r="F57" s="17" t="str">
        <f t="shared" si="28"/>
        <v>02-5034-01-00-00</v>
      </c>
      <c r="G57" s="37" t="s">
        <v>112</v>
      </c>
      <c r="H57" s="19">
        <f t="shared" si="51"/>
        <v>3458.25</v>
      </c>
      <c r="I57" s="19">
        <f t="shared" si="51"/>
        <v>3458.25</v>
      </c>
      <c r="J57" s="19">
        <f t="shared" si="51"/>
        <v>3458.25</v>
      </c>
      <c r="K57" s="19">
        <f t="shared" si="51"/>
        <v>3458.25</v>
      </c>
      <c r="L57" s="20">
        <v>13833</v>
      </c>
      <c r="M57" s="20">
        <v>14372</v>
      </c>
      <c r="N57" s="206" t="s">
        <v>705</v>
      </c>
      <c r="P57" s="195">
        <f>INDEX('Apportionment Bases'!M$6:M$33,MATCH('PC2'!$N57,'Apportionment Bases'!$A$6:$A$33,0))</f>
        <v>0</v>
      </c>
      <c r="Q57" s="195">
        <f>INDEX('Apportionment Bases'!N$6:N$33,MATCH('PC2'!$N57,'Apportionment Bases'!$A$6:$A$33,0))</f>
        <v>0</v>
      </c>
      <c r="R57" s="199"/>
      <c r="S57" s="195">
        <f>INDEX('Apportionment Bases'!$P$6:$P$33,MATCH('PC2'!N57,'Apportionment Bases'!$A$6:$A$33,0))</f>
        <v>0.5</v>
      </c>
      <c r="T57" s="195">
        <f>INDEX('Apportionment Bases'!Q$6:Q$33,MATCH('PC2'!$N57,'Apportionment Bases'!$A$6:$A$33,0))</f>
        <v>0.5</v>
      </c>
      <c r="V57" s="72">
        <f t="shared" si="43"/>
        <v>0</v>
      </c>
      <c r="W57" s="72">
        <f t="shared" si="44"/>
        <v>0</v>
      </c>
      <c r="X57" s="66"/>
      <c r="Y57" s="72">
        <f t="shared" si="52"/>
        <v>6916.5</v>
      </c>
      <c r="Z57" s="72">
        <f t="shared" si="53"/>
        <v>6916.5</v>
      </c>
      <c r="AA57" s="48" t="str">
        <f t="shared" si="54"/>
        <v>TRUE</v>
      </c>
      <c r="AH57" s="300"/>
      <c r="AI57" s="72">
        <f t="shared" si="45"/>
        <v>0</v>
      </c>
      <c r="AJ57" s="72">
        <f t="shared" si="50"/>
        <v>0</v>
      </c>
      <c r="AK57" s="74"/>
      <c r="AL57" s="72">
        <f t="shared" si="55"/>
        <v>2074.9499999999998</v>
      </c>
      <c r="AM57" s="72">
        <f t="shared" si="56"/>
        <v>2128.20705</v>
      </c>
      <c r="AN57" s="301"/>
      <c r="AO57" s="72">
        <f t="shared" si="46"/>
        <v>0</v>
      </c>
      <c r="AP57" s="72">
        <f t="shared" si="47"/>
        <v>0</v>
      </c>
      <c r="AQ57" s="74"/>
      <c r="AR57" s="72">
        <f t="shared" si="57"/>
        <v>1495.3473000000001</v>
      </c>
      <c r="AS57" s="72">
        <f t="shared" si="58"/>
        <v>1596.3281999999999</v>
      </c>
      <c r="AT57" s="301"/>
      <c r="AU57" s="72">
        <f t="shared" si="48"/>
        <v>0</v>
      </c>
      <c r="AV57" s="72">
        <f t="shared" si="49"/>
        <v>0</v>
      </c>
      <c r="AW57" s="66"/>
      <c r="AX57" s="72">
        <f t="shared" si="59"/>
        <v>1383.3000000000002</v>
      </c>
      <c r="AY57" s="72">
        <f t="shared" si="60"/>
        <v>1994.7185999999999</v>
      </c>
      <c r="AZ57" s="301"/>
      <c r="BA57" s="72">
        <f t="shared" si="39"/>
        <v>0</v>
      </c>
      <c r="BB57" s="72">
        <f t="shared" si="40"/>
        <v>0</v>
      </c>
      <c r="BC57" s="74"/>
      <c r="BD57" s="72">
        <f t="shared" si="61"/>
        <v>1962.9026999999999</v>
      </c>
      <c r="BE57" s="72">
        <f t="shared" si="62"/>
        <v>1197.2461499999999</v>
      </c>
      <c r="BF57" s="301"/>
      <c r="BG57" s="44"/>
      <c r="BH57" s="44"/>
      <c r="BI57" s="44"/>
      <c r="BJ57" s="44"/>
      <c r="BK57" s="44"/>
      <c r="BM57" s="44"/>
      <c r="BN57" s="44"/>
      <c r="BO57" s="44"/>
      <c r="BP57" s="44"/>
      <c r="BQ57" s="44"/>
      <c r="BS57" s="44"/>
      <c r="BT57" s="44"/>
      <c r="BU57" s="44"/>
      <c r="BV57" s="44"/>
      <c r="BW57" s="44"/>
      <c r="BY57" s="44"/>
      <c r="BZ57" s="44"/>
      <c r="CA57" s="44"/>
      <c r="CB57" s="44"/>
      <c r="CC57" s="44"/>
      <c r="CE57" s="44"/>
      <c r="CF57" s="44"/>
      <c r="CG57" s="44"/>
      <c r="CH57" s="44"/>
      <c r="CI57" s="44"/>
      <c r="CK57" s="44"/>
      <c r="CL57" s="44"/>
      <c r="CM57" s="44"/>
      <c r="CN57" s="44"/>
      <c r="CO57" s="44"/>
    </row>
    <row r="58" spans="1:93" x14ac:dyDescent="0.25">
      <c r="A58" s="35" t="s">
        <v>45</v>
      </c>
      <c r="B58" s="35" t="s">
        <v>111</v>
      </c>
      <c r="C58" s="35" t="s">
        <v>45</v>
      </c>
      <c r="D58" s="35" t="s">
        <v>48</v>
      </c>
      <c r="E58" s="35" t="s">
        <v>48</v>
      </c>
      <c r="F58" s="17" t="str">
        <f t="shared" si="28"/>
        <v>02-5034-02-00-00</v>
      </c>
      <c r="G58" s="36" t="s">
        <v>112</v>
      </c>
      <c r="H58" s="19">
        <f t="shared" si="51"/>
        <v>784.5</v>
      </c>
      <c r="I58" s="19">
        <f t="shared" si="51"/>
        <v>784.5</v>
      </c>
      <c r="J58" s="19">
        <f t="shared" si="51"/>
        <v>784.5</v>
      </c>
      <c r="K58" s="19">
        <f t="shared" si="51"/>
        <v>784.5</v>
      </c>
      <c r="L58" s="20">
        <v>3138</v>
      </c>
      <c r="M58" s="20">
        <v>4500</v>
      </c>
      <c r="N58" s="206" t="s">
        <v>705</v>
      </c>
      <c r="P58" s="195">
        <f>INDEX('Apportionment Bases'!M$6:M$33,MATCH('PC2'!$N58,'Apportionment Bases'!$A$6:$A$33,0))</f>
        <v>0</v>
      </c>
      <c r="Q58" s="195">
        <f>INDEX('Apportionment Bases'!N$6:N$33,MATCH('PC2'!$N58,'Apportionment Bases'!$A$6:$A$33,0))</f>
        <v>0</v>
      </c>
      <c r="R58" s="199"/>
      <c r="S58" s="195">
        <f>INDEX('Apportionment Bases'!$P$6:$P$33,MATCH('PC2'!N58,'Apportionment Bases'!$A$6:$A$33,0))</f>
        <v>0.5</v>
      </c>
      <c r="T58" s="195">
        <f>INDEX('Apportionment Bases'!Q$6:Q$33,MATCH('PC2'!$N58,'Apportionment Bases'!$A$6:$A$33,0))</f>
        <v>0.5</v>
      </c>
      <c r="V58" s="72">
        <f t="shared" si="43"/>
        <v>0</v>
      </c>
      <c r="W58" s="72">
        <f t="shared" si="44"/>
        <v>0</v>
      </c>
      <c r="X58" s="66"/>
      <c r="Y58" s="72">
        <f t="shared" si="52"/>
        <v>1569</v>
      </c>
      <c r="Z58" s="72">
        <f t="shared" si="53"/>
        <v>1569</v>
      </c>
      <c r="AA58" s="48" t="str">
        <f t="shared" si="54"/>
        <v>TRUE</v>
      </c>
      <c r="AH58" s="300"/>
      <c r="AI58" s="72">
        <f t="shared" si="45"/>
        <v>0</v>
      </c>
      <c r="AJ58" s="72">
        <f t="shared" si="50"/>
        <v>0</v>
      </c>
      <c r="AK58" s="74"/>
      <c r="AL58" s="72">
        <f t="shared" si="55"/>
        <v>470.7</v>
      </c>
      <c r="AM58" s="72">
        <f t="shared" si="56"/>
        <v>482.78129999999993</v>
      </c>
      <c r="AN58" s="301"/>
      <c r="AO58" s="72">
        <f t="shared" si="46"/>
        <v>0</v>
      </c>
      <c r="AP58" s="72">
        <f t="shared" si="47"/>
        <v>0</v>
      </c>
      <c r="AQ58" s="74"/>
      <c r="AR58" s="72">
        <f t="shared" si="57"/>
        <v>339.21780000000001</v>
      </c>
      <c r="AS58" s="72">
        <f t="shared" si="58"/>
        <v>362.12520000000001</v>
      </c>
      <c r="AT58" s="301"/>
      <c r="AU58" s="72">
        <f t="shared" si="48"/>
        <v>0</v>
      </c>
      <c r="AV58" s="72">
        <f t="shared" si="49"/>
        <v>0</v>
      </c>
      <c r="AW58" s="66"/>
      <c r="AX58" s="72">
        <f t="shared" si="59"/>
        <v>313.8</v>
      </c>
      <c r="AY58" s="72">
        <f t="shared" si="60"/>
        <v>452.49959999999999</v>
      </c>
      <c r="AZ58" s="301"/>
      <c r="BA58" s="72">
        <f t="shared" si="39"/>
        <v>0</v>
      </c>
      <c r="BB58" s="72">
        <f t="shared" si="40"/>
        <v>0</v>
      </c>
      <c r="BC58" s="74"/>
      <c r="BD58" s="72">
        <f t="shared" si="61"/>
        <v>445.28219999999999</v>
      </c>
      <c r="BE58" s="72">
        <f t="shared" si="62"/>
        <v>271.59390000000002</v>
      </c>
      <c r="BF58" s="301"/>
      <c r="BG58" s="44"/>
      <c r="BH58" s="44"/>
      <c r="BI58" s="44"/>
      <c r="BJ58" s="44"/>
      <c r="BK58" s="44"/>
      <c r="BM58" s="44"/>
      <c r="BN58" s="44"/>
      <c r="BO58" s="44"/>
      <c r="BP58" s="44"/>
      <c r="BQ58" s="44"/>
      <c r="BS58" s="44"/>
      <c r="BT58" s="44"/>
      <c r="BU58" s="44"/>
      <c r="BV58" s="44"/>
      <c r="BW58" s="44"/>
      <c r="BY58" s="44"/>
      <c r="BZ58" s="44"/>
      <c r="CA58" s="44"/>
      <c r="CB58" s="44"/>
      <c r="CC58" s="44"/>
      <c r="CE58" s="44"/>
      <c r="CF58" s="44"/>
      <c r="CG58" s="44"/>
      <c r="CH58" s="44"/>
      <c r="CI58" s="44"/>
      <c r="CK58" s="44"/>
      <c r="CL58" s="44"/>
      <c r="CM58" s="44"/>
      <c r="CN58" s="44"/>
      <c r="CO58" s="44"/>
    </row>
    <row r="59" spans="1:93" x14ac:dyDescent="0.25">
      <c r="A59" s="35" t="s">
        <v>45</v>
      </c>
      <c r="B59" s="35" t="s">
        <v>113</v>
      </c>
      <c r="C59" s="35" t="s">
        <v>47</v>
      </c>
      <c r="D59" s="35" t="s">
        <v>48</v>
      </c>
      <c r="E59" s="35" t="s">
        <v>48</v>
      </c>
      <c r="F59" s="17" t="str">
        <f t="shared" si="28"/>
        <v>02-5035-01-00-00</v>
      </c>
      <c r="G59" s="37" t="s">
        <v>114</v>
      </c>
      <c r="H59" s="19">
        <f t="shared" si="51"/>
        <v>3975</v>
      </c>
      <c r="I59" s="19">
        <f t="shared" si="51"/>
        <v>3975</v>
      </c>
      <c r="J59" s="19">
        <f t="shared" si="51"/>
        <v>3975</v>
      </c>
      <c r="K59" s="19">
        <f t="shared" si="51"/>
        <v>3975</v>
      </c>
      <c r="L59" s="20">
        <v>15900</v>
      </c>
      <c r="M59" s="20">
        <v>11672</v>
      </c>
      <c r="N59" s="206" t="s">
        <v>705</v>
      </c>
      <c r="P59" s="195">
        <f>INDEX('Apportionment Bases'!M$6:M$33,MATCH('PC2'!$N59,'Apportionment Bases'!$A$6:$A$33,0))</f>
        <v>0</v>
      </c>
      <c r="Q59" s="195">
        <f>INDEX('Apportionment Bases'!N$6:N$33,MATCH('PC2'!$N59,'Apportionment Bases'!$A$6:$A$33,0))</f>
        <v>0</v>
      </c>
      <c r="R59" s="199"/>
      <c r="S59" s="195">
        <f>INDEX('Apportionment Bases'!$P$6:$P$33,MATCH('PC2'!N59,'Apportionment Bases'!$A$6:$A$33,0))</f>
        <v>0.5</v>
      </c>
      <c r="T59" s="195">
        <f>INDEX('Apportionment Bases'!Q$6:Q$33,MATCH('PC2'!$N59,'Apportionment Bases'!$A$6:$A$33,0))</f>
        <v>0.5</v>
      </c>
      <c r="V59" s="72">
        <f t="shared" si="43"/>
        <v>0</v>
      </c>
      <c r="W59" s="72">
        <f t="shared" si="44"/>
        <v>0</v>
      </c>
      <c r="X59" s="66"/>
      <c r="Y59" s="72">
        <f t="shared" si="52"/>
        <v>7950</v>
      </c>
      <c r="Z59" s="72">
        <f t="shared" si="53"/>
        <v>7950</v>
      </c>
      <c r="AA59" s="48" t="str">
        <f t="shared" si="54"/>
        <v>TRUE</v>
      </c>
      <c r="AH59" s="300"/>
      <c r="AI59" s="72">
        <f t="shared" si="45"/>
        <v>0</v>
      </c>
      <c r="AJ59" s="72">
        <f t="shared" si="50"/>
        <v>0</v>
      </c>
      <c r="AK59" s="74"/>
      <c r="AL59" s="72">
        <f t="shared" si="55"/>
        <v>2385</v>
      </c>
      <c r="AM59" s="72">
        <f t="shared" si="56"/>
        <v>2446.2149999999997</v>
      </c>
      <c r="AN59" s="301"/>
      <c r="AO59" s="72">
        <f t="shared" si="46"/>
        <v>0</v>
      </c>
      <c r="AP59" s="72">
        <f t="shared" si="47"/>
        <v>0</v>
      </c>
      <c r="AQ59" s="74"/>
      <c r="AR59" s="72">
        <f t="shared" si="57"/>
        <v>1718.79</v>
      </c>
      <c r="AS59" s="72">
        <f t="shared" si="58"/>
        <v>1834.8600000000001</v>
      </c>
      <c r="AT59" s="301"/>
      <c r="AU59" s="72">
        <f t="shared" si="48"/>
        <v>0</v>
      </c>
      <c r="AV59" s="72">
        <f t="shared" si="49"/>
        <v>0</v>
      </c>
      <c r="AW59" s="66"/>
      <c r="AX59" s="72">
        <f t="shared" si="59"/>
        <v>1590</v>
      </c>
      <c r="AY59" s="72">
        <f t="shared" si="60"/>
        <v>2292.7799999999997</v>
      </c>
      <c r="AZ59" s="301"/>
      <c r="BA59" s="72">
        <f t="shared" si="39"/>
        <v>0</v>
      </c>
      <c r="BB59" s="72">
        <f t="shared" si="40"/>
        <v>0</v>
      </c>
      <c r="BC59" s="74"/>
      <c r="BD59" s="72">
        <f t="shared" si="61"/>
        <v>2256.21</v>
      </c>
      <c r="BE59" s="72">
        <f t="shared" si="62"/>
        <v>1376.145</v>
      </c>
      <c r="BF59" s="301"/>
      <c r="BG59" s="44"/>
      <c r="BH59" s="44"/>
      <c r="BI59" s="44"/>
      <c r="BJ59" s="44"/>
      <c r="BK59" s="44"/>
      <c r="BM59" s="44"/>
      <c r="BN59" s="44"/>
      <c r="BO59" s="44"/>
      <c r="BP59" s="44"/>
      <c r="BQ59" s="44"/>
      <c r="BS59" s="44"/>
      <c r="BT59" s="44"/>
      <c r="BU59" s="44"/>
      <c r="BV59" s="44"/>
      <c r="BW59" s="44"/>
      <c r="BY59" s="44"/>
      <c r="BZ59" s="44"/>
      <c r="CA59" s="44"/>
      <c r="CB59" s="44"/>
      <c r="CC59" s="44"/>
      <c r="CE59" s="44"/>
      <c r="CF59" s="44"/>
      <c r="CG59" s="44"/>
      <c r="CH59" s="44"/>
      <c r="CI59" s="44"/>
      <c r="CK59" s="44"/>
      <c r="CL59" s="44"/>
      <c r="CM59" s="44"/>
      <c r="CN59" s="44"/>
      <c r="CO59" s="44"/>
    </row>
    <row r="60" spans="1:93" x14ac:dyDescent="0.25">
      <c r="A60" s="35" t="s">
        <v>45</v>
      </c>
      <c r="B60" s="35" t="s">
        <v>113</v>
      </c>
      <c r="C60" s="35" t="s">
        <v>45</v>
      </c>
      <c r="D60" s="35" t="s">
        <v>48</v>
      </c>
      <c r="E60" s="35" t="s">
        <v>48</v>
      </c>
      <c r="F60" s="17" t="str">
        <f t="shared" si="28"/>
        <v>02-5035-02-00-00</v>
      </c>
      <c r="G60" s="37" t="s">
        <v>114</v>
      </c>
      <c r="H60" s="19">
        <f t="shared" si="51"/>
        <v>279.5</v>
      </c>
      <c r="I60" s="19">
        <f t="shared" si="51"/>
        <v>279.5</v>
      </c>
      <c r="J60" s="19">
        <f t="shared" si="51"/>
        <v>279.5</v>
      </c>
      <c r="K60" s="19">
        <f t="shared" si="51"/>
        <v>279.5</v>
      </c>
      <c r="L60" s="20">
        <v>1118</v>
      </c>
      <c r="M60" s="20">
        <v>14512</v>
      </c>
      <c r="N60" s="206" t="s">
        <v>705</v>
      </c>
      <c r="P60" s="195">
        <f>INDEX('Apportionment Bases'!M$6:M$33,MATCH('PC2'!$N60,'Apportionment Bases'!$A$6:$A$33,0))</f>
        <v>0</v>
      </c>
      <c r="Q60" s="195">
        <f>INDEX('Apportionment Bases'!N$6:N$33,MATCH('PC2'!$N60,'Apportionment Bases'!$A$6:$A$33,0))</f>
        <v>0</v>
      </c>
      <c r="R60" s="199"/>
      <c r="S60" s="195">
        <f>INDEX('Apportionment Bases'!$P$6:$P$33,MATCH('PC2'!N60,'Apportionment Bases'!$A$6:$A$33,0))</f>
        <v>0.5</v>
      </c>
      <c r="T60" s="195">
        <f>INDEX('Apportionment Bases'!Q$6:Q$33,MATCH('PC2'!$N60,'Apportionment Bases'!$A$6:$A$33,0))</f>
        <v>0.5</v>
      </c>
      <c r="V60" s="72">
        <f t="shared" si="43"/>
        <v>0</v>
      </c>
      <c r="W60" s="72">
        <f t="shared" si="44"/>
        <v>0</v>
      </c>
      <c r="X60" s="66"/>
      <c r="Y60" s="72">
        <f t="shared" si="52"/>
        <v>559</v>
      </c>
      <c r="Z60" s="72">
        <f t="shared" si="53"/>
        <v>559</v>
      </c>
      <c r="AA60" s="48" t="str">
        <f t="shared" si="54"/>
        <v>TRUE</v>
      </c>
      <c r="AH60" s="300"/>
      <c r="AI60" s="72">
        <f t="shared" si="45"/>
        <v>0</v>
      </c>
      <c r="AJ60" s="72">
        <f t="shared" si="50"/>
        <v>0</v>
      </c>
      <c r="AK60" s="74"/>
      <c r="AL60" s="72">
        <f t="shared" si="55"/>
        <v>167.7</v>
      </c>
      <c r="AM60" s="72">
        <f t="shared" si="56"/>
        <v>172.00429999999997</v>
      </c>
      <c r="AN60" s="301"/>
      <c r="AO60" s="72">
        <f t="shared" si="46"/>
        <v>0</v>
      </c>
      <c r="AP60" s="72">
        <f t="shared" si="47"/>
        <v>0</v>
      </c>
      <c r="AQ60" s="74"/>
      <c r="AR60" s="72">
        <f t="shared" si="57"/>
        <v>120.8558</v>
      </c>
      <c r="AS60" s="72">
        <f t="shared" si="58"/>
        <v>129.0172</v>
      </c>
      <c r="AT60" s="301"/>
      <c r="AU60" s="72">
        <f t="shared" si="48"/>
        <v>0</v>
      </c>
      <c r="AV60" s="72">
        <f t="shared" si="49"/>
        <v>0</v>
      </c>
      <c r="AW60" s="66"/>
      <c r="AX60" s="72">
        <f t="shared" si="59"/>
        <v>111.80000000000001</v>
      </c>
      <c r="AY60" s="72">
        <f t="shared" si="60"/>
        <v>161.21559999999999</v>
      </c>
      <c r="AZ60" s="301"/>
      <c r="BA60" s="72">
        <f t="shared" si="39"/>
        <v>0</v>
      </c>
      <c r="BB60" s="72">
        <f t="shared" si="40"/>
        <v>0</v>
      </c>
      <c r="BC60" s="74"/>
      <c r="BD60" s="72">
        <f t="shared" si="61"/>
        <v>158.64420000000001</v>
      </c>
      <c r="BE60" s="72">
        <f t="shared" si="62"/>
        <v>96.762900000000002</v>
      </c>
      <c r="BF60" s="301"/>
      <c r="BG60" s="44"/>
      <c r="BH60" s="44"/>
      <c r="BI60" s="44"/>
      <c r="BJ60" s="44"/>
      <c r="BK60" s="44"/>
      <c r="BM60" s="44"/>
      <c r="BN60" s="44"/>
      <c r="BO60" s="44"/>
      <c r="BP60" s="44"/>
      <c r="BQ60" s="44"/>
      <c r="BS60" s="44"/>
      <c r="BT60" s="44"/>
      <c r="BU60" s="44"/>
      <c r="BV60" s="44"/>
      <c r="BW60" s="44"/>
      <c r="BY60" s="44"/>
      <c r="BZ60" s="44"/>
      <c r="CA60" s="44"/>
      <c r="CB60" s="44"/>
      <c r="CC60" s="44"/>
      <c r="CE60" s="44"/>
      <c r="CF60" s="44"/>
      <c r="CG60" s="44"/>
      <c r="CH60" s="44"/>
      <c r="CI60" s="44"/>
      <c r="CK60" s="44"/>
      <c r="CL60" s="44"/>
      <c r="CM60" s="44"/>
      <c r="CN60" s="44"/>
      <c r="CO60" s="44"/>
    </row>
    <row r="61" spans="1:93" x14ac:dyDescent="0.25">
      <c r="A61" s="35" t="s">
        <v>45</v>
      </c>
      <c r="B61" s="35" t="s">
        <v>115</v>
      </c>
      <c r="C61" s="35" t="s">
        <v>45</v>
      </c>
      <c r="D61" s="35" t="s">
        <v>48</v>
      </c>
      <c r="E61" s="35" t="s">
        <v>48</v>
      </c>
      <c r="F61" s="17" t="str">
        <f t="shared" si="28"/>
        <v>02-5036-02-00-00</v>
      </c>
      <c r="G61" s="37" t="s">
        <v>116</v>
      </c>
      <c r="H61" s="19">
        <f t="shared" si="51"/>
        <v>3250</v>
      </c>
      <c r="I61" s="19">
        <f t="shared" si="51"/>
        <v>3250</v>
      </c>
      <c r="J61" s="19">
        <f t="shared" si="51"/>
        <v>3250</v>
      </c>
      <c r="K61" s="19">
        <f t="shared" si="51"/>
        <v>3250</v>
      </c>
      <c r="L61" s="20">
        <v>13000</v>
      </c>
      <c r="M61" s="20">
        <v>14296</v>
      </c>
      <c r="N61" s="206" t="s">
        <v>17</v>
      </c>
      <c r="P61" s="195">
        <f>INDEX('Apportionment Bases'!M$6:M$33,MATCH('PC2'!$N61,'Apportionment Bases'!$A$6:$A$33,0))</f>
        <v>0.25</v>
      </c>
      <c r="Q61" s="195">
        <f>INDEX('Apportionment Bases'!N$6:N$33,MATCH('PC2'!$N61,'Apportionment Bases'!$A$6:$A$33,0))</f>
        <v>0.75</v>
      </c>
      <c r="R61" s="199"/>
      <c r="S61" s="195">
        <f>INDEX('Apportionment Bases'!$P$6:$P$33,MATCH('PC2'!N61,'Apportionment Bases'!$A$6:$A$33,0))</f>
        <v>0</v>
      </c>
      <c r="T61" s="195">
        <f>INDEX('Apportionment Bases'!Q$6:Q$33,MATCH('PC2'!$N61,'Apportionment Bases'!$A$6:$A$33,0))</f>
        <v>0</v>
      </c>
      <c r="V61" s="72">
        <f t="shared" si="43"/>
        <v>3250</v>
      </c>
      <c r="W61" s="72">
        <f t="shared" si="44"/>
        <v>9750</v>
      </c>
      <c r="X61" s="66"/>
      <c r="Y61" s="72">
        <f t="shared" si="52"/>
        <v>0</v>
      </c>
      <c r="Z61" s="72">
        <f t="shared" si="53"/>
        <v>0</v>
      </c>
      <c r="AA61" s="48" t="str">
        <f t="shared" si="54"/>
        <v>TRUE</v>
      </c>
      <c r="AH61" s="300"/>
      <c r="AI61" s="72">
        <f t="shared" si="45"/>
        <v>774.15</v>
      </c>
      <c r="AJ61" s="72">
        <f t="shared" si="50"/>
        <v>2681.25</v>
      </c>
      <c r="AK61" s="74"/>
      <c r="AL61" s="72">
        <f t="shared" si="55"/>
        <v>0</v>
      </c>
      <c r="AM61" s="72">
        <f t="shared" si="56"/>
        <v>0</v>
      </c>
      <c r="AN61" s="301"/>
      <c r="AO61" s="72">
        <f t="shared" si="46"/>
        <v>495.3</v>
      </c>
      <c r="AP61" s="72">
        <f t="shared" si="47"/>
        <v>1900.2749999999999</v>
      </c>
      <c r="AQ61" s="74"/>
      <c r="AR61" s="72">
        <f t="shared" si="57"/>
        <v>0</v>
      </c>
      <c r="AS61" s="72">
        <f t="shared" si="58"/>
        <v>0</v>
      </c>
      <c r="AT61" s="301"/>
      <c r="AU61" s="72">
        <f t="shared" si="48"/>
        <v>706.22500000000002</v>
      </c>
      <c r="AV61" s="72">
        <f t="shared" si="49"/>
        <v>2331.2249999999999</v>
      </c>
      <c r="AW61" s="66"/>
      <c r="AX61" s="72">
        <f t="shared" si="59"/>
        <v>0</v>
      </c>
      <c r="AY61" s="72">
        <f t="shared" si="60"/>
        <v>0</v>
      </c>
      <c r="AZ61" s="301"/>
      <c r="BA61" s="72">
        <f t="shared" si="39"/>
        <v>1274.325</v>
      </c>
      <c r="BB61" s="72">
        <f t="shared" si="40"/>
        <v>2837.25</v>
      </c>
      <c r="BC61" s="74"/>
      <c r="BD61" s="72">
        <f t="shared" si="61"/>
        <v>0</v>
      </c>
      <c r="BE61" s="72">
        <f t="shared" si="62"/>
        <v>0</v>
      </c>
      <c r="BF61" s="301"/>
      <c r="BG61" s="44"/>
      <c r="BH61" s="44"/>
      <c r="BI61" s="44"/>
      <c r="BJ61" s="44"/>
      <c r="BK61" s="44"/>
      <c r="BM61" s="44"/>
      <c r="BN61" s="44"/>
      <c r="BO61" s="44"/>
      <c r="BP61" s="44"/>
      <c r="BQ61" s="44"/>
      <c r="BS61" s="44"/>
      <c r="BT61" s="44"/>
      <c r="BU61" s="44"/>
      <c r="BV61" s="44"/>
      <c r="BW61" s="44"/>
      <c r="BY61" s="44"/>
      <c r="BZ61" s="44"/>
      <c r="CA61" s="44"/>
      <c r="CB61" s="44"/>
      <c r="CC61" s="44"/>
      <c r="CE61" s="44"/>
      <c r="CF61" s="44"/>
      <c r="CG61" s="44"/>
      <c r="CH61" s="44"/>
      <c r="CI61" s="44"/>
      <c r="CK61" s="44"/>
      <c r="CL61" s="44"/>
      <c r="CM61" s="44"/>
      <c r="CN61" s="44"/>
      <c r="CO61" s="44"/>
    </row>
    <row r="62" spans="1:93" x14ac:dyDescent="0.25">
      <c r="A62" s="35" t="s">
        <v>45</v>
      </c>
      <c r="B62" s="35" t="s">
        <v>117</v>
      </c>
      <c r="C62" s="35" t="s">
        <v>47</v>
      </c>
      <c r="D62" s="35" t="s">
        <v>48</v>
      </c>
      <c r="E62" s="35" t="s">
        <v>48</v>
      </c>
      <c r="F62" s="17" t="str">
        <f t="shared" si="28"/>
        <v>02-5037-01-00-00</v>
      </c>
      <c r="G62" s="37" t="s">
        <v>118</v>
      </c>
      <c r="H62" s="19">
        <f t="shared" si="51"/>
        <v>3875</v>
      </c>
      <c r="I62" s="19">
        <f t="shared" si="51"/>
        <v>3875</v>
      </c>
      <c r="J62" s="19">
        <f t="shared" si="51"/>
        <v>3875</v>
      </c>
      <c r="K62" s="19">
        <f t="shared" si="51"/>
        <v>3875</v>
      </c>
      <c r="L62" s="20">
        <v>15500</v>
      </c>
      <c r="M62" s="20">
        <v>13000</v>
      </c>
      <c r="N62" s="206" t="s">
        <v>705</v>
      </c>
      <c r="P62" s="195">
        <f>INDEX('Apportionment Bases'!M$6:M$33,MATCH('PC2'!$N62,'Apportionment Bases'!$A$6:$A$33,0))</f>
        <v>0</v>
      </c>
      <c r="Q62" s="195">
        <f>INDEX('Apportionment Bases'!N$6:N$33,MATCH('PC2'!$N62,'Apportionment Bases'!$A$6:$A$33,0))</f>
        <v>0</v>
      </c>
      <c r="R62" s="199"/>
      <c r="S62" s="195">
        <f>INDEX('Apportionment Bases'!$P$6:$P$33,MATCH('PC2'!N62,'Apportionment Bases'!$A$6:$A$33,0))</f>
        <v>0.5</v>
      </c>
      <c r="T62" s="195">
        <f>INDEX('Apportionment Bases'!Q$6:Q$33,MATCH('PC2'!$N62,'Apportionment Bases'!$A$6:$A$33,0))</f>
        <v>0.5</v>
      </c>
      <c r="V62" s="72">
        <f t="shared" si="43"/>
        <v>0</v>
      </c>
      <c r="W62" s="72">
        <f t="shared" si="44"/>
        <v>0</v>
      </c>
      <c r="X62" s="66"/>
      <c r="Y62" s="72">
        <f t="shared" si="52"/>
        <v>7750</v>
      </c>
      <c r="Z62" s="72">
        <f t="shared" si="53"/>
        <v>7750</v>
      </c>
      <c r="AA62" s="48" t="str">
        <f t="shared" si="54"/>
        <v>TRUE</v>
      </c>
      <c r="AH62" s="300"/>
      <c r="AI62" s="72">
        <f t="shared" si="45"/>
        <v>0</v>
      </c>
      <c r="AJ62" s="72">
        <f t="shared" si="50"/>
        <v>0</v>
      </c>
      <c r="AK62" s="74"/>
      <c r="AL62" s="72">
        <f t="shared" si="55"/>
        <v>2325</v>
      </c>
      <c r="AM62" s="72">
        <f t="shared" si="56"/>
        <v>2384.6749999999997</v>
      </c>
      <c r="AN62" s="301"/>
      <c r="AO62" s="72">
        <f t="shared" si="46"/>
        <v>0</v>
      </c>
      <c r="AP62" s="72">
        <f t="shared" si="47"/>
        <v>0</v>
      </c>
      <c r="AQ62" s="74"/>
      <c r="AR62" s="72">
        <f t="shared" si="57"/>
        <v>1675.55</v>
      </c>
      <c r="AS62" s="72">
        <f t="shared" si="58"/>
        <v>1788.7</v>
      </c>
      <c r="AT62" s="301"/>
      <c r="AU62" s="72">
        <f t="shared" si="48"/>
        <v>0</v>
      </c>
      <c r="AV62" s="72">
        <f t="shared" si="49"/>
        <v>0</v>
      </c>
      <c r="AW62" s="66"/>
      <c r="AX62" s="72">
        <f t="shared" si="59"/>
        <v>1550</v>
      </c>
      <c r="AY62" s="72">
        <f t="shared" si="60"/>
        <v>2235.1</v>
      </c>
      <c r="AZ62" s="301"/>
      <c r="BA62" s="72">
        <f t="shared" si="39"/>
        <v>0</v>
      </c>
      <c r="BB62" s="72">
        <f t="shared" si="40"/>
        <v>0</v>
      </c>
      <c r="BC62" s="74"/>
      <c r="BD62" s="72">
        <f t="shared" si="61"/>
        <v>2199.4499999999998</v>
      </c>
      <c r="BE62" s="72">
        <f t="shared" si="62"/>
        <v>1341.5250000000001</v>
      </c>
      <c r="BF62" s="301"/>
      <c r="BG62" s="44"/>
      <c r="BH62" s="44"/>
      <c r="BI62" s="44"/>
      <c r="BJ62" s="44"/>
      <c r="BK62" s="44"/>
      <c r="BM62" s="44"/>
      <c r="BN62" s="44"/>
      <c r="BO62" s="44"/>
      <c r="BP62" s="44"/>
      <c r="BQ62" s="44"/>
      <c r="BS62" s="44"/>
      <c r="BT62" s="44"/>
      <c r="BU62" s="44"/>
      <c r="BV62" s="44"/>
      <c r="BW62" s="44"/>
      <c r="BY62" s="44"/>
      <c r="BZ62" s="44"/>
      <c r="CA62" s="44"/>
      <c r="CB62" s="44"/>
      <c r="CC62" s="44"/>
      <c r="CE62" s="44"/>
      <c r="CF62" s="44"/>
      <c r="CG62" s="44"/>
      <c r="CH62" s="44"/>
      <c r="CI62" s="44"/>
      <c r="CK62" s="44"/>
      <c r="CL62" s="44"/>
      <c r="CM62" s="44"/>
      <c r="CN62" s="44"/>
      <c r="CO62" s="44"/>
    </row>
    <row r="63" spans="1:93" x14ac:dyDescent="0.25">
      <c r="A63" s="110" t="s">
        <v>45</v>
      </c>
      <c r="B63" s="110" t="s">
        <v>119</v>
      </c>
      <c r="C63" s="110" t="s">
        <v>47</v>
      </c>
      <c r="D63" s="110" t="s">
        <v>48</v>
      </c>
      <c r="E63" s="110" t="s">
        <v>48</v>
      </c>
      <c r="F63" s="62" t="str">
        <f t="shared" si="28"/>
        <v>02-5038-01-00-00</v>
      </c>
      <c r="G63" s="62" t="s">
        <v>120</v>
      </c>
      <c r="H63" s="19">
        <f t="shared" ref="H63:K82" si="63">($L63/4)</f>
        <v>0</v>
      </c>
      <c r="I63" s="19">
        <f t="shared" si="63"/>
        <v>0</v>
      </c>
      <c r="J63" s="19">
        <f t="shared" si="63"/>
        <v>0</v>
      </c>
      <c r="K63" s="19">
        <f t="shared" si="63"/>
        <v>0</v>
      </c>
      <c r="L63" s="20">
        <v>0</v>
      </c>
      <c r="M63" s="20">
        <v>0</v>
      </c>
      <c r="N63" s="206" t="s">
        <v>705</v>
      </c>
      <c r="P63" s="195">
        <f>INDEX('Apportionment Bases'!M$6:M$33,MATCH('PC2'!$N63,'Apportionment Bases'!$A$6:$A$33,0))</f>
        <v>0</v>
      </c>
      <c r="Q63" s="195">
        <f>INDEX('Apportionment Bases'!N$6:N$33,MATCH('PC2'!$N63,'Apportionment Bases'!$A$6:$A$33,0))</f>
        <v>0</v>
      </c>
      <c r="R63" s="199"/>
      <c r="S63" s="195">
        <f>INDEX('Apportionment Bases'!$P$6:$P$33,MATCH('PC2'!N63,'Apportionment Bases'!$A$6:$A$33,0))</f>
        <v>0.5</v>
      </c>
      <c r="T63" s="195">
        <f>INDEX('Apportionment Bases'!Q$6:Q$33,MATCH('PC2'!$N63,'Apportionment Bases'!$A$6:$A$33,0))</f>
        <v>0.5</v>
      </c>
      <c r="V63" s="72">
        <f t="shared" si="43"/>
        <v>0</v>
      </c>
      <c r="W63" s="72">
        <f t="shared" si="44"/>
        <v>0</v>
      </c>
      <c r="X63" s="66"/>
      <c r="Y63" s="72">
        <f t="shared" si="52"/>
        <v>0</v>
      </c>
      <c r="Z63" s="72">
        <f t="shared" si="53"/>
        <v>0</v>
      </c>
      <c r="AA63" s="48" t="str">
        <f t="shared" si="54"/>
        <v>TRUE</v>
      </c>
      <c r="AH63" s="300"/>
      <c r="AI63" s="72">
        <f t="shared" si="45"/>
        <v>0</v>
      </c>
      <c r="AJ63" s="72">
        <f t="shared" si="50"/>
        <v>0</v>
      </c>
      <c r="AK63" s="74"/>
      <c r="AL63" s="72">
        <f t="shared" si="55"/>
        <v>0</v>
      </c>
      <c r="AM63" s="72">
        <f t="shared" si="56"/>
        <v>0</v>
      </c>
      <c r="AN63" s="301"/>
      <c r="AO63" s="72">
        <f t="shared" si="46"/>
        <v>0</v>
      </c>
      <c r="AP63" s="72">
        <f t="shared" si="47"/>
        <v>0</v>
      </c>
      <c r="AQ63" s="74"/>
      <c r="AR63" s="72">
        <f t="shared" si="57"/>
        <v>0</v>
      </c>
      <c r="AS63" s="72">
        <f t="shared" si="58"/>
        <v>0</v>
      </c>
      <c r="AT63" s="301"/>
      <c r="AU63" s="72">
        <f t="shared" si="48"/>
        <v>0</v>
      </c>
      <c r="AV63" s="72">
        <f t="shared" si="49"/>
        <v>0</v>
      </c>
      <c r="AW63" s="66"/>
      <c r="AX63" s="72">
        <f t="shared" si="59"/>
        <v>0</v>
      </c>
      <c r="AY63" s="72">
        <f t="shared" si="60"/>
        <v>0</v>
      </c>
      <c r="AZ63" s="301"/>
      <c r="BA63" s="72">
        <f t="shared" si="39"/>
        <v>0</v>
      </c>
      <c r="BB63" s="72">
        <f t="shared" si="40"/>
        <v>0</v>
      </c>
      <c r="BC63" s="74"/>
      <c r="BD63" s="72">
        <f t="shared" si="61"/>
        <v>0</v>
      </c>
      <c r="BE63" s="72">
        <f t="shared" si="62"/>
        <v>0</v>
      </c>
      <c r="BF63" s="301"/>
      <c r="BG63" s="44"/>
      <c r="BH63" s="44"/>
      <c r="BI63" s="44"/>
      <c r="BJ63" s="44"/>
      <c r="BK63" s="44"/>
      <c r="BM63" s="44"/>
      <c r="BN63" s="44"/>
      <c r="BO63" s="44"/>
      <c r="BP63" s="44"/>
      <c r="BQ63" s="44"/>
      <c r="BS63" s="44"/>
      <c r="BT63" s="44"/>
      <c r="BU63" s="44"/>
      <c r="BV63" s="44"/>
      <c r="BW63" s="44"/>
      <c r="BY63" s="44"/>
      <c r="BZ63" s="44"/>
      <c r="CA63" s="44"/>
      <c r="CB63" s="44"/>
      <c r="CC63" s="44"/>
      <c r="CE63" s="44"/>
      <c r="CF63" s="44"/>
      <c r="CG63" s="44"/>
      <c r="CH63" s="44"/>
      <c r="CI63" s="44"/>
      <c r="CK63" s="44"/>
      <c r="CL63" s="44"/>
      <c r="CM63" s="44"/>
      <c r="CN63" s="44"/>
      <c r="CO63" s="44"/>
    </row>
    <row r="64" spans="1:93" x14ac:dyDescent="0.25">
      <c r="A64" s="110" t="s">
        <v>45</v>
      </c>
      <c r="B64" s="110" t="s">
        <v>119</v>
      </c>
      <c r="C64" s="110" t="s">
        <v>45</v>
      </c>
      <c r="D64" s="110" t="s">
        <v>48</v>
      </c>
      <c r="E64" s="110" t="s">
        <v>48</v>
      </c>
      <c r="F64" s="62" t="str">
        <f t="shared" si="28"/>
        <v>02-5038-02-00-00</v>
      </c>
      <c r="G64" s="62" t="s">
        <v>120</v>
      </c>
      <c r="H64" s="19">
        <f t="shared" si="63"/>
        <v>5500</v>
      </c>
      <c r="I64" s="19">
        <f t="shared" si="63"/>
        <v>5500</v>
      </c>
      <c r="J64" s="19">
        <f t="shared" si="63"/>
        <v>5500</v>
      </c>
      <c r="K64" s="19">
        <f t="shared" si="63"/>
        <v>5500</v>
      </c>
      <c r="L64" s="20">
        <v>22000</v>
      </c>
      <c r="M64" s="20">
        <v>22432</v>
      </c>
      <c r="N64" s="206" t="s">
        <v>705</v>
      </c>
      <c r="P64" s="195">
        <f>INDEX('Apportionment Bases'!M$6:M$33,MATCH('PC2'!$N64,'Apportionment Bases'!$A$6:$A$33,0))</f>
        <v>0</v>
      </c>
      <c r="Q64" s="195">
        <f>INDEX('Apportionment Bases'!N$6:N$33,MATCH('PC2'!$N64,'Apportionment Bases'!$A$6:$A$33,0))</f>
        <v>0</v>
      </c>
      <c r="R64" s="199"/>
      <c r="S64" s="195">
        <f>INDEX('Apportionment Bases'!$P$6:$P$33,MATCH('PC2'!N64,'Apportionment Bases'!$A$6:$A$33,0))</f>
        <v>0.5</v>
      </c>
      <c r="T64" s="195">
        <f>INDEX('Apportionment Bases'!Q$6:Q$33,MATCH('PC2'!$N64,'Apportionment Bases'!$A$6:$A$33,0))</f>
        <v>0.5</v>
      </c>
      <c r="V64" s="72">
        <f t="shared" si="43"/>
        <v>0</v>
      </c>
      <c r="W64" s="72">
        <f t="shared" si="44"/>
        <v>0</v>
      </c>
      <c r="X64" s="66"/>
      <c r="Y64" s="72">
        <f t="shared" si="52"/>
        <v>11000</v>
      </c>
      <c r="Z64" s="72">
        <f t="shared" si="53"/>
        <v>11000</v>
      </c>
      <c r="AA64" s="48" t="str">
        <f t="shared" si="54"/>
        <v>TRUE</v>
      </c>
      <c r="AH64" s="300"/>
      <c r="AI64" s="72">
        <f t="shared" si="45"/>
        <v>0</v>
      </c>
      <c r="AJ64" s="72">
        <f t="shared" si="50"/>
        <v>0</v>
      </c>
      <c r="AK64" s="74"/>
      <c r="AL64" s="72">
        <f t="shared" si="55"/>
        <v>3300</v>
      </c>
      <c r="AM64" s="72">
        <f t="shared" si="56"/>
        <v>3384.7</v>
      </c>
      <c r="AN64" s="301"/>
      <c r="AO64" s="72">
        <f t="shared" si="46"/>
        <v>0</v>
      </c>
      <c r="AP64" s="72">
        <f t="shared" si="47"/>
        <v>0</v>
      </c>
      <c r="AQ64" s="74"/>
      <c r="AR64" s="72">
        <f t="shared" si="57"/>
        <v>2378.1999999999998</v>
      </c>
      <c r="AS64" s="72">
        <f t="shared" si="58"/>
        <v>2538.8000000000002</v>
      </c>
      <c r="AT64" s="301"/>
      <c r="AU64" s="72">
        <f t="shared" si="48"/>
        <v>0</v>
      </c>
      <c r="AV64" s="72">
        <f t="shared" si="49"/>
        <v>0</v>
      </c>
      <c r="AW64" s="66"/>
      <c r="AX64" s="72">
        <f t="shared" si="59"/>
        <v>2200</v>
      </c>
      <c r="AY64" s="72">
        <f t="shared" si="60"/>
        <v>3172.4</v>
      </c>
      <c r="AZ64" s="301"/>
      <c r="BA64" s="72">
        <f t="shared" si="39"/>
        <v>0</v>
      </c>
      <c r="BB64" s="72">
        <f t="shared" si="40"/>
        <v>0</v>
      </c>
      <c r="BC64" s="74"/>
      <c r="BD64" s="72">
        <f t="shared" si="61"/>
        <v>3121.8</v>
      </c>
      <c r="BE64" s="72">
        <f t="shared" si="62"/>
        <v>1904.1000000000001</v>
      </c>
      <c r="BF64" s="301"/>
      <c r="BG64" s="44"/>
      <c r="BH64" s="44"/>
      <c r="BI64" s="44"/>
      <c r="BJ64" s="44"/>
      <c r="BK64" s="44"/>
      <c r="BM64" s="44"/>
      <c r="BN64" s="44"/>
      <c r="BO64" s="44"/>
      <c r="BP64" s="44"/>
      <c r="BQ64" s="44"/>
      <c r="BS64" s="44"/>
      <c r="BT64" s="44"/>
      <c r="BU64" s="44"/>
      <c r="BV64" s="44"/>
      <c r="BW64" s="44"/>
      <c r="BY64" s="44"/>
      <c r="BZ64" s="44"/>
      <c r="CA64" s="44"/>
      <c r="CB64" s="44"/>
      <c r="CC64" s="44"/>
      <c r="CE64" s="44"/>
      <c r="CF64" s="44"/>
      <c r="CG64" s="44"/>
      <c r="CH64" s="44"/>
      <c r="CI64" s="44"/>
      <c r="CK64" s="44"/>
      <c r="CL64" s="44"/>
      <c r="CM64" s="44"/>
      <c r="CN64" s="44"/>
      <c r="CO64" s="44"/>
    </row>
    <row r="65" spans="1:93" x14ac:dyDescent="0.25">
      <c r="A65" s="35" t="s">
        <v>45</v>
      </c>
      <c r="B65" s="35" t="s">
        <v>121</v>
      </c>
      <c r="C65" s="35" t="s">
        <v>47</v>
      </c>
      <c r="D65" s="35" t="s">
        <v>48</v>
      </c>
      <c r="E65" s="35" t="s">
        <v>48</v>
      </c>
      <c r="F65" s="17" t="str">
        <f t="shared" si="28"/>
        <v>02-5039-01-00-00</v>
      </c>
      <c r="G65" s="36" t="s">
        <v>122</v>
      </c>
      <c r="H65" s="19">
        <f t="shared" si="63"/>
        <v>762.5</v>
      </c>
      <c r="I65" s="19">
        <f t="shared" si="63"/>
        <v>762.5</v>
      </c>
      <c r="J65" s="19">
        <f t="shared" si="63"/>
        <v>762.5</v>
      </c>
      <c r="K65" s="19">
        <f t="shared" si="63"/>
        <v>762.5</v>
      </c>
      <c r="L65" s="20">
        <v>3050</v>
      </c>
      <c r="M65" s="20">
        <v>4484</v>
      </c>
      <c r="N65" s="206" t="s">
        <v>705</v>
      </c>
      <c r="P65" s="195">
        <f>INDEX('Apportionment Bases'!M$6:M$33,MATCH('PC2'!$N65,'Apportionment Bases'!$A$6:$A$33,0))</f>
        <v>0</v>
      </c>
      <c r="Q65" s="195">
        <f>INDEX('Apportionment Bases'!N$6:N$33,MATCH('PC2'!$N65,'Apportionment Bases'!$A$6:$A$33,0))</f>
        <v>0</v>
      </c>
      <c r="R65" s="199"/>
      <c r="S65" s="195">
        <f>INDEX('Apportionment Bases'!$P$6:$P$33,MATCH('PC2'!N65,'Apportionment Bases'!$A$6:$A$33,0))</f>
        <v>0.5</v>
      </c>
      <c r="T65" s="195">
        <f>INDEX('Apportionment Bases'!Q$6:Q$33,MATCH('PC2'!$N65,'Apportionment Bases'!$A$6:$A$33,0))</f>
        <v>0.5</v>
      </c>
      <c r="V65" s="72">
        <f t="shared" si="43"/>
        <v>0</v>
      </c>
      <c r="W65" s="72">
        <f t="shared" si="44"/>
        <v>0</v>
      </c>
      <c r="X65" s="66"/>
      <c r="Y65" s="72">
        <f t="shared" si="52"/>
        <v>1525</v>
      </c>
      <c r="Z65" s="72">
        <f t="shared" si="53"/>
        <v>1525</v>
      </c>
      <c r="AA65" s="48" t="str">
        <f t="shared" si="54"/>
        <v>TRUE</v>
      </c>
      <c r="AH65" s="300"/>
      <c r="AI65" s="72">
        <f t="shared" si="45"/>
        <v>0</v>
      </c>
      <c r="AJ65" s="72">
        <f t="shared" si="50"/>
        <v>0</v>
      </c>
      <c r="AK65" s="74"/>
      <c r="AL65" s="72">
        <f t="shared" si="55"/>
        <v>457.5</v>
      </c>
      <c r="AM65" s="72">
        <f t="shared" si="56"/>
        <v>469.24249999999995</v>
      </c>
      <c r="AN65" s="301"/>
      <c r="AO65" s="72">
        <f t="shared" si="46"/>
        <v>0</v>
      </c>
      <c r="AP65" s="72">
        <f t="shared" si="47"/>
        <v>0</v>
      </c>
      <c r="AQ65" s="74"/>
      <c r="AR65" s="72">
        <f t="shared" si="57"/>
        <v>329.70499999999998</v>
      </c>
      <c r="AS65" s="72">
        <f t="shared" si="58"/>
        <v>351.97</v>
      </c>
      <c r="AT65" s="301"/>
      <c r="AU65" s="72">
        <f t="shared" si="48"/>
        <v>0</v>
      </c>
      <c r="AV65" s="72">
        <f t="shared" si="49"/>
        <v>0</v>
      </c>
      <c r="AW65" s="66"/>
      <c r="AX65" s="72">
        <f t="shared" si="59"/>
        <v>305</v>
      </c>
      <c r="AY65" s="72">
        <f t="shared" si="60"/>
        <v>439.81</v>
      </c>
      <c r="AZ65" s="301"/>
      <c r="BA65" s="72">
        <f t="shared" si="39"/>
        <v>0</v>
      </c>
      <c r="BB65" s="72">
        <f t="shared" si="40"/>
        <v>0</v>
      </c>
      <c r="BC65" s="74"/>
      <c r="BD65" s="72">
        <f t="shared" si="61"/>
        <v>432.79500000000002</v>
      </c>
      <c r="BE65" s="72">
        <f t="shared" si="62"/>
        <v>263.97750000000002</v>
      </c>
      <c r="BF65" s="301"/>
      <c r="BG65" s="44"/>
      <c r="BH65" s="44"/>
      <c r="BI65" s="44"/>
      <c r="BJ65" s="44"/>
      <c r="BK65" s="44"/>
      <c r="BM65" s="44"/>
      <c r="BN65" s="44"/>
      <c r="BO65" s="44"/>
      <c r="BP65" s="44"/>
      <c r="BQ65" s="44"/>
      <c r="BS65" s="44"/>
      <c r="BT65" s="44"/>
      <c r="BU65" s="44"/>
      <c r="BV65" s="44"/>
      <c r="BW65" s="44"/>
      <c r="BY65" s="44"/>
      <c r="BZ65" s="44"/>
      <c r="CA65" s="44"/>
      <c r="CB65" s="44"/>
      <c r="CC65" s="44"/>
      <c r="CE65" s="44"/>
      <c r="CF65" s="44"/>
      <c r="CG65" s="44"/>
      <c r="CH65" s="44"/>
      <c r="CI65" s="44"/>
      <c r="CK65" s="44"/>
      <c r="CL65" s="44"/>
      <c r="CM65" s="44"/>
      <c r="CN65" s="44"/>
      <c r="CO65" s="44"/>
    </row>
    <row r="66" spans="1:93" x14ac:dyDescent="0.25">
      <c r="A66" s="35" t="s">
        <v>45</v>
      </c>
      <c r="B66" s="35" t="s">
        <v>121</v>
      </c>
      <c r="C66" s="35" t="s">
        <v>45</v>
      </c>
      <c r="D66" s="35" t="s">
        <v>48</v>
      </c>
      <c r="E66" s="35" t="s">
        <v>48</v>
      </c>
      <c r="F66" s="17" t="str">
        <f t="shared" si="28"/>
        <v>02-5039-02-00-00</v>
      </c>
      <c r="G66" s="37" t="s">
        <v>122</v>
      </c>
      <c r="H66" s="19">
        <f t="shared" si="63"/>
        <v>200</v>
      </c>
      <c r="I66" s="19">
        <f t="shared" si="63"/>
        <v>200</v>
      </c>
      <c r="J66" s="19">
        <f t="shared" si="63"/>
        <v>200</v>
      </c>
      <c r="K66" s="19">
        <f t="shared" si="63"/>
        <v>200</v>
      </c>
      <c r="L66" s="20">
        <v>800</v>
      </c>
      <c r="M66" s="20">
        <v>3560</v>
      </c>
      <c r="N66" s="206" t="s">
        <v>705</v>
      </c>
      <c r="P66" s="195">
        <f>INDEX('Apportionment Bases'!M$6:M$33,MATCH('PC2'!$N66,'Apportionment Bases'!$A$6:$A$33,0))</f>
        <v>0</v>
      </c>
      <c r="Q66" s="195">
        <f>INDEX('Apportionment Bases'!N$6:N$33,MATCH('PC2'!$N66,'Apportionment Bases'!$A$6:$A$33,0))</f>
        <v>0</v>
      </c>
      <c r="R66" s="199"/>
      <c r="S66" s="195">
        <f>INDEX('Apportionment Bases'!$P$6:$P$33,MATCH('PC2'!N66,'Apportionment Bases'!$A$6:$A$33,0))</f>
        <v>0.5</v>
      </c>
      <c r="T66" s="195">
        <f>INDEX('Apportionment Bases'!Q$6:Q$33,MATCH('PC2'!$N66,'Apportionment Bases'!$A$6:$A$33,0))</f>
        <v>0.5</v>
      </c>
      <c r="V66" s="72">
        <f t="shared" si="43"/>
        <v>0</v>
      </c>
      <c r="W66" s="72">
        <f t="shared" si="44"/>
        <v>0</v>
      </c>
      <c r="X66" s="66"/>
      <c r="Y66" s="72">
        <f t="shared" si="52"/>
        <v>400</v>
      </c>
      <c r="Z66" s="72">
        <f t="shared" si="53"/>
        <v>400</v>
      </c>
      <c r="AA66" s="48" t="str">
        <f t="shared" si="54"/>
        <v>TRUE</v>
      </c>
      <c r="AH66" s="300"/>
      <c r="AI66" s="72">
        <f t="shared" si="45"/>
        <v>0</v>
      </c>
      <c r="AJ66" s="72">
        <f t="shared" si="50"/>
        <v>0</v>
      </c>
      <c r="AK66" s="74"/>
      <c r="AL66" s="72">
        <f t="shared" si="55"/>
        <v>120</v>
      </c>
      <c r="AM66" s="72">
        <f t="shared" si="56"/>
        <v>123.07999999999998</v>
      </c>
      <c r="AN66" s="301"/>
      <c r="AO66" s="72">
        <f t="shared" si="46"/>
        <v>0</v>
      </c>
      <c r="AP66" s="72">
        <f t="shared" si="47"/>
        <v>0</v>
      </c>
      <c r="AQ66" s="74"/>
      <c r="AR66" s="72">
        <f t="shared" si="57"/>
        <v>86.48</v>
      </c>
      <c r="AS66" s="72">
        <f t="shared" si="58"/>
        <v>92.320000000000007</v>
      </c>
      <c r="AT66" s="301"/>
      <c r="AU66" s="72">
        <f t="shared" si="48"/>
        <v>0</v>
      </c>
      <c r="AV66" s="72">
        <f t="shared" si="49"/>
        <v>0</v>
      </c>
      <c r="AW66" s="66"/>
      <c r="AX66" s="72">
        <f t="shared" si="59"/>
        <v>80</v>
      </c>
      <c r="AY66" s="72">
        <f t="shared" si="60"/>
        <v>115.36</v>
      </c>
      <c r="AZ66" s="301"/>
      <c r="BA66" s="72">
        <f t="shared" si="39"/>
        <v>0</v>
      </c>
      <c r="BB66" s="72">
        <f t="shared" si="40"/>
        <v>0</v>
      </c>
      <c r="BC66" s="74"/>
      <c r="BD66" s="72">
        <f t="shared" si="61"/>
        <v>113.52</v>
      </c>
      <c r="BE66" s="72">
        <f t="shared" si="62"/>
        <v>69.239999999999995</v>
      </c>
      <c r="BF66" s="301"/>
      <c r="BG66" s="44"/>
      <c r="BH66" s="44"/>
      <c r="BI66" s="44"/>
      <c r="BJ66" s="44"/>
      <c r="BK66" s="44"/>
      <c r="BM66" s="44"/>
      <c r="BN66" s="44"/>
      <c r="BO66" s="44"/>
      <c r="BP66" s="44"/>
      <c r="BQ66" s="44"/>
      <c r="BS66" s="44"/>
      <c r="BT66" s="44"/>
      <c r="BU66" s="44"/>
      <c r="BV66" s="44"/>
      <c r="BW66" s="44"/>
      <c r="BY66" s="44"/>
      <c r="BZ66" s="44"/>
      <c r="CA66" s="44"/>
      <c r="CB66" s="44"/>
      <c r="CC66" s="44"/>
      <c r="CE66" s="44"/>
      <c r="CF66" s="44"/>
      <c r="CG66" s="44"/>
      <c r="CH66" s="44"/>
      <c r="CI66" s="44"/>
      <c r="CK66" s="44"/>
      <c r="CL66" s="44"/>
      <c r="CM66" s="44"/>
      <c r="CN66" s="44"/>
      <c r="CO66" s="44"/>
    </row>
    <row r="67" spans="1:93" x14ac:dyDescent="0.25">
      <c r="A67" s="35" t="s">
        <v>45</v>
      </c>
      <c r="B67" s="35" t="s">
        <v>123</v>
      </c>
      <c r="C67" s="35" t="s">
        <v>47</v>
      </c>
      <c r="D67" s="35" t="s">
        <v>48</v>
      </c>
      <c r="E67" s="35" t="s">
        <v>48</v>
      </c>
      <c r="F67" s="17" t="str">
        <f t="shared" si="28"/>
        <v>02-5049-01-00-00</v>
      </c>
      <c r="G67" s="37" t="s">
        <v>124</v>
      </c>
      <c r="H67" s="19">
        <f t="shared" si="63"/>
        <v>137500</v>
      </c>
      <c r="I67" s="19">
        <f t="shared" si="63"/>
        <v>137500</v>
      </c>
      <c r="J67" s="19">
        <f t="shared" si="63"/>
        <v>137500</v>
      </c>
      <c r="K67" s="19">
        <f t="shared" si="63"/>
        <v>137500</v>
      </c>
      <c r="L67" s="20">
        <v>550000</v>
      </c>
      <c r="M67" s="20">
        <v>600000</v>
      </c>
      <c r="N67" s="206" t="s">
        <v>4</v>
      </c>
      <c r="P67" s="195">
        <f>INDEX('Apportionment Bases'!M$6:M$33,MATCH('PC2'!$N67,'Apportionment Bases'!$A$6:$A$33,0))</f>
        <v>1</v>
      </c>
      <c r="Q67" s="195">
        <f>INDEX('Apportionment Bases'!N$6:N$33,MATCH('PC2'!$N67,'Apportionment Bases'!$A$6:$A$33,0))</f>
        <v>0</v>
      </c>
      <c r="R67" s="199"/>
      <c r="S67" s="195">
        <f>INDEX('Apportionment Bases'!$P$6:$P$33,MATCH('PC2'!N67,'Apportionment Bases'!$A$6:$A$33,0))</f>
        <v>0</v>
      </c>
      <c r="T67" s="195">
        <f>INDEX('Apportionment Bases'!Q$6:Q$33,MATCH('PC2'!$N67,'Apportionment Bases'!$A$6:$A$33,0))</f>
        <v>0</v>
      </c>
      <c r="V67" s="72">
        <f t="shared" si="43"/>
        <v>550000</v>
      </c>
      <c r="W67" s="72">
        <f t="shared" si="44"/>
        <v>0</v>
      </c>
      <c r="X67" s="66"/>
      <c r="Y67" s="72">
        <f t="shared" si="52"/>
        <v>0</v>
      </c>
      <c r="Z67" s="72">
        <f t="shared" si="53"/>
        <v>0</v>
      </c>
      <c r="AA67" s="48" t="str">
        <f t="shared" si="54"/>
        <v>TRUE</v>
      </c>
      <c r="AH67" s="300"/>
      <c r="AI67" s="72">
        <f t="shared" si="45"/>
        <v>131010</v>
      </c>
      <c r="AJ67" s="72">
        <f t="shared" si="50"/>
        <v>0</v>
      </c>
      <c r="AK67" s="74"/>
      <c r="AL67" s="72">
        <f t="shared" si="55"/>
        <v>0</v>
      </c>
      <c r="AM67" s="72">
        <f t="shared" si="56"/>
        <v>0</v>
      </c>
      <c r="AN67" s="301"/>
      <c r="AO67" s="72">
        <f t="shared" si="46"/>
        <v>83820</v>
      </c>
      <c r="AP67" s="72">
        <f t="shared" si="47"/>
        <v>0</v>
      </c>
      <c r="AQ67" s="74"/>
      <c r="AR67" s="72">
        <f t="shared" si="57"/>
        <v>0</v>
      </c>
      <c r="AS67" s="72">
        <f t="shared" si="58"/>
        <v>0</v>
      </c>
      <c r="AT67" s="301"/>
      <c r="AU67" s="72">
        <f t="shared" si="48"/>
        <v>119515</v>
      </c>
      <c r="AV67" s="72">
        <f t="shared" si="49"/>
        <v>0</v>
      </c>
      <c r="AW67" s="66"/>
      <c r="AX67" s="72">
        <f t="shared" si="59"/>
        <v>0</v>
      </c>
      <c r="AY67" s="72">
        <f t="shared" si="60"/>
        <v>0</v>
      </c>
      <c r="AZ67" s="301"/>
      <c r="BA67" s="72">
        <f t="shared" si="39"/>
        <v>215655</v>
      </c>
      <c r="BB67" s="72">
        <f t="shared" si="40"/>
        <v>0</v>
      </c>
      <c r="BC67" s="74"/>
      <c r="BD67" s="72">
        <f t="shared" si="61"/>
        <v>0</v>
      </c>
      <c r="BE67" s="72">
        <f t="shared" si="62"/>
        <v>0</v>
      </c>
      <c r="BF67" s="301"/>
      <c r="BG67" s="44"/>
      <c r="BH67" s="44"/>
      <c r="BI67" s="44"/>
      <c r="BJ67" s="44"/>
      <c r="BK67" s="44"/>
      <c r="BM67" s="44"/>
      <c r="BN67" s="44"/>
      <c r="BO67" s="44"/>
      <c r="BP67" s="44"/>
      <c r="BQ67" s="44"/>
      <c r="BS67" s="44"/>
      <c r="BT67" s="44"/>
      <c r="BU67" s="44"/>
      <c r="BV67" s="44"/>
      <c r="BW67" s="44"/>
      <c r="BY67" s="44"/>
      <c r="BZ67" s="44"/>
      <c r="CA67" s="44"/>
      <c r="CB67" s="44"/>
      <c r="CC67" s="44"/>
      <c r="CE67" s="44"/>
      <c r="CF67" s="44"/>
      <c r="CG67" s="44"/>
      <c r="CH67" s="44"/>
      <c r="CI67" s="44"/>
      <c r="CK67" s="44"/>
      <c r="CL67" s="44"/>
      <c r="CM67" s="44"/>
      <c r="CN67" s="44"/>
      <c r="CO67" s="44"/>
    </row>
    <row r="68" spans="1:93" x14ac:dyDescent="0.25">
      <c r="A68" s="35" t="s">
        <v>45</v>
      </c>
      <c r="B68" s="35" t="s">
        <v>125</v>
      </c>
      <c r="C68" s="35" t="s">
        <v>47</v>
      </c>
      <c r="D68" s="35" t="s">
        <v>48</v>
      </c>
      <c r="E68" s="35" t="s">
        <v>48</v>
      </c>
      <c r="F68" s="17" t="str">
        <f t="shared" si="28"/>
        <v>02-5050-01-00-00</v>
      </c>
      <c r="G68" s="37" t="s">
        <v>126</v>
      </c>
      <c r="H68" s="19">
        <f t="shared" si="63"/>
        <v>2250</v>
      </c>
      <c r="I68" s="19">
        <f t="shared" si="63"/>
        <v>2250</v>
      </c>
      <c r="J68" s="19">
        <f t="shared" si="63"/>
        <v>2250</v>
      </c>
      <c r="K68" s="19">
        <f t="shared" si="63"/>
        <v>2250</v>
      </c>
      <c r="L68" s="20">
        <v>9000</v>
      </c>
      <c r="M68" s="20">
        <v>9000</v>
      </c>
      <c r="N68" s="206" t="s">
        <v>705</v>
      </c>
      <c r="P68" s="195">
        <f>INDEX('Apportionment Bases'!M$6:M$33,MATCH('PC2'!$N68,'Apportionment Bases'!$A$6:$A$33,0))</f>
        <v>0</v>
      </c>
      <c r="Q68" s="195">
        <f>INDEX('Apportionment Bases'!N$6:N$33,MATCH('PC2'!$N68,'Apportionment Bases'!$A$6:$A$33,0))</f>
        <v>0</v>
      </c>
      <c r="R68" s="199"/>
      <c r="S68" s="195">
        <f>INDEX('Apportionment Bases'!$P$6:$P$33,MATCH('PC2'!N68,'Apportionment Bases'!$A$6:$A$33,0))</f>
        <v>0.5</v>
      </c>
      <c r="T68" s="195">
        <f>INDEX('Apportionment Bases'!Q$6:Q$33,MATCH('PC2'!$N68,'Apportionment Bases'!$A$6:$A$33,0))</f>
        <v>0.5</v>
      </c>
      <c r="V68" s="72">
        <f t="shared" si="43"/>
        <v>0</v>
      </c>
      <c r="W68" s="72">
        <f t="shared" si="44"/>
        <v>0</v>
      </c>
      <c r="X68" s="66"/>
      <c r="Y68" s="72">
        <f t="shared" si="52"/>
        <v>4500</v>
      </c>
      <c r="Z68" s="72">
        <f t="shared" si="53"/>
        <v>4500</v>
      </c>
      <c r="AA68" s="48" t="str">
        <f t="shared" si="54"/>
        <v>TRUE</v>
      </c>
      <c r="AH68" s="300"/>
      <c r="AI68" s="72">
        <f t="shared" si="45"/>
        <v>0</v>
      </c>
      <c r="AJ68" s="72">
        <f t="shared" si="50"/>
        <v>0</v>
      </c>
      <c r="AK68" s="74"/>
      <c r="AL68" s="72">
        <f t="shared" si="55"/>
        <v>1350</v>
      </c>
      <c r="AM68" s="72">
        <f t="shared" si="56"/>
        <v>1384.6499999999999</v>
      </c>
      <c r="AN68" s="301"/>
      <c r="AO68" s="72">
        <f t="shared" si="46"/>
        <v>0</v>
      </c>
      <c r="AP68" s="72">
        <f t="shared" si="47"/>
        <v>0</v>
      </c>
      <c r="AQ68" s="74"/>
      <c r="AR68" s="72">
        <f t="shared" si="57"/>
        <v>972.9</v>
      </c>
      <c r="AS68" s="72">
        <f t="shared" si="58"/>
        <v>1038.6000000000001</v>
      </c>
      <c r="AT68" s="301"/>
      <c r="AU68" s="72">
        <f t="shared" si="48"/>
        <v>0</v>
      </c>
      <c r="AV68" s="72">
        <f t="shared" si="49"/>
        <v>0</v>
      </c>
      <c r="AW68" s="66"/>
      <c r="AX68" s="72">
        <f t="shared" si="59"/>
        <v>900</v>
      </c>
      <c r="AY68" s="72">
        <f t="shared" si="60"/>
        <v>1297.8</v>
      </c>
      <c r="AZ68" s="301"/>
      <c r="BA68" s="72">
        <f t="shared" si="39"/>
        <v>0</v>
      </c>
      <c r="BB68" s="72">
        <f t="shared" si="40"/>
        <v>0</v>
      </c>
      <c r="BC68" s="74"/>
      <c r="BD68" s="72">
        <f t="shared" si="61"/>
        <v>1277.0999999999999</v>
      </c>
      <c r="BE68" s="72">
        <f t="shared" si="62"/>
        <v>778.95</v>
      </c>
      <c r="BF68" s="301"/>
      <c r="BG68" s="44"/>
      <c r="BH68" s="44"/>
      <c r="BI68" s="44"/>
      <c r="BJ68" s="44"/>
      <c r="BK68" s="44"/>
      <c r="BM68" s="44"/>
      <c r="BN68" s="44"/>
      <c r="BO68" s="44"/>
      <c r="BP68" s="44"/>
      <c r="BQ68" s="44"/>
      <c r="BS68" s="44"/>
      <c r="BT68" s="44"/>
      <c r="BU68" s="44"/>
      <c r="BV68" s="44"/>
      <c r="BW68" s="44"/>
      <c r="BY68" s="44"/>
      <c r="BZ68" s="44"/>
      <c r="CA68" s="44"/>
      <c r="CB68" s="44"/>
      <c r="CC68" s="44"/>
      <c r="CE68" s="44"/>
      <c r="CF68" s="44"/>
      <c r="CG68" s="44"/>
      <c r="CH68" s="44"/>
      <c r="CI68" s="44"/>
      <c r="CK68" s="44"/>
      <c r="CL68" s="44"/>
      <c r="CM68" s="44"/>
      <c r="CN68" s="44"/>
      <c r="CO68" s="44"/>
    </row>
    <row r="69" spans="1:93" x14ac:dyDescent="0.25">
      <c r="A69" s="35" t="s">
        <v>45</v>
      </c>
      <c r="B69" s="35" t="s">
        <v>127</v>
      </c>
      <c r="C69" s="35" t="s">
        <v>47</v>
      </c>
      <c r="D69" s="35" t="s">
        <v>48</v>
      </c>
      <c r="E69" s="35" t="s">
        <v>48</v>
      </c>
      <c r="F69" s="17" t="str">
        <f t="shared" si="28"/>
        <v>02-5052-01-00-00</v>
      </c>
      <c r="G69" s="37" t="s">
        <v>128</v>
      </c>
      <c r="H69" s="19">
        <f t="shared" si="63"/>
        <v>10000</v>
      </c>
      <c r="I69" s="19">
        <f t="shared" si="63"/>
        <v>10000</v>
      </c>
      <c r="J69" s="19">
        <f t="shared" si="63"/>
        <v>10000</v>
      </c>
      <c r="K69" s="19">
        <f t="shared" si="63"/>
        <v>10000</v>
      </c>
      <c r="L69" s="20">
        <v>40000</v>
      </c>
      <c r="M69" s="20">
        <v>40004</v>
      </c>
      <c r="N69" s="206" t="s">
        <v>705</v>
      </c>
      <c r="P69" s="195">
        <f>INDEX('Apportionment Bases'!M$6:M$33,MATCH('PC2'!$N69,'Apportionment Bases'!$A$6:$A$33,0))</f>
        <v>0</v>
      </c>
      <c r="Q69" s="195">
        <f>INDEX('Apportionment Bases'!N$6:N$33,MATCH('PC2'!$N69,'Apportionment Bases'!$A$6:$A$33,0))</f>
        <v>0</v>
      </c>
      <c r="R69" s="199"/>
      <c r="S69" s="195">
        <f>INDEX('Apportionment Bases'!$P$6:$P$33,MATCH('PC2'!N69,'Apportionment Bases'!$A$6:$A$33,0))</f>
        <v>0.5</v>
      </c>
      <c r="T69" s="195">
        <f>INDEX('Apportionment Bases'!Q$6:Q$33,MATCH('PC2'!$N69,'Apportionment Bases'!$A$6:$A$33,0))</f>
        <v>0.5</v>
      </c>
      <c r="V69" s="72">
        <f t="shared" si="43"/>
        <v>0</v>
      </c>
      <c r="W69" s="72">
        <f t="shared" si="44"/>
        <v>0</v>
      </c>
      <c r="X69" s="66"/>
      <c r="Y69" s="72">
        <f t="shared" si="52"/>
        <v>20000</v>
      </c>
      <c r="Z69" s="72">
        <f t="shared" si="53"/>
        <v>20000</v>
      </c>
      <c r="AA69" s="48" t="str">
        <f t="shared" si="54"/>
        <v>TRUE</v>
      </c>
      <c r="AH69" s="300"/>
      <c r="AI69" s="72">
        <f t="shared" si="45"/>
        <v>0</v>
      </c>
      <c r="AJ69" s="72">
        <f t="shared" si="50"/>
        <v>0</v>
      </c>
      <c r="AK69" s="74"/>
      <c r="AL69" s="72">
        <f t="shared" si="55"/>
        <v>6000</v>
      </c>
      <c r="AM69" s="72">
        <f t="shared" si="56"/>
        <v>6153.9999999999991</v>
      </c>
      <c r="AN69" s="301"/>
      <c r="AO69" s="72">
        <f t="shared" si="46"/>
        <v>0</v>
      </c>
      <c r="AP69" s="72">
        <f t="shared" si="47"/>
        <v>0</v>
      </c>
      <c r="AQ69" s="74"/>
      <c r="AR69" s="72">
        <f t="shared" si="57"/>
        <v>4324</v>
      </c>
      <c r="AS69" s="72">
        <f t="shared" si="58"/>
        <v>4616</v>
      </c>
      <c r="AT69" s="301"/>
      <c r="AU69" s="72">
        <f t="shared" si="48"/>
        <v>0</v>
      </c>
      <c r="AV69" s="72">
        <f t="shared" si="49"/>
        <v>0</v>
      </c>
      <c r="AW69" s="66"/>
      <c r="AX69" s="72">
        <f t="shared" si="59"/>
        <v>4000</v>
      </c>
      <c r="AY69" s="72">
        <f t="shared" si="60"/>
        <v>5768</v>
      </c>
      <c r="AZ69" s="301"/>
      <c r="BA69" s="72">
        <f t="shared" si="39"/>
        <v>0</v>
      </c>
      <c r="BB69" s="72">
        <f t="shared" si="40"/>
        <v>0</v>
      </c>
      <c r="BC69" s="74"/>
      <c r="BD69" s="72">
        <f t="shared" si="61"/>
        <v>5676</v>
      </c>
      <c r="BE69" s="72">
        <f t="shared" si="62"/>
        <v>3462</v>
      </c>
      <c r="BF69" s="301"/>
      <c r="BG69" s="44"/>
      <c r="BH69" s="44"/>
      <c r="BI69" s="44"/>
      <c r="BJ69" s="44"/>
      <c r="BK69" s="44"/>
      <c r="BM69" s="44"/>
      <c r="BN69" s="44"/>
      <c r="BO69" s="44"/>
      <c r="BP69" s="44"/>
      <c r="BQ69" s="44"/>
      <c r="BS69" s="44"/>
      <c r="BT69" s="44"/>
      <c r="BU69" s="44"/>
      <c r="BV69" s="44"/>
      <c r="BW69" s="44"/>
      <c r="BY69" s="44"/>
      <c r="BZ69" s="44"/>
      <c r="CA69" s="44"/>
      <c r="CB69" s="44"/>
      <c r="CC69" s="44"/>
      <c r="CE69" s="44"/>
      <c r="CF69" s="44"/>
      <c r="CG69" s="44"/>
      <c r="CH69" s="44"/>
      <c r="CI69" s="44"/>
      <c r="CK69" s="44"/>
      <c r="CL69" s="44"/>
      <c r="CM69" s="44"/>
      <c r="CN69" s="44"/>
      <c r="CO69" s="44"/>
    </row>
    <row r="70" spans="1:93" x14ac:dyDescent="0.25">
      <c r="A70" s="35" t="s">
        <v>45</v>
      </c>
      <c r="B70" s="35" t="s">
        <v>129</v>
      </c>
      <c r="C70" s="35" t="s">
        <v>47</v>
      </c>
      <c r="D70" s="35" t="s">
        <v>48</v>
      </c>
      <c r="E70" s="35" t="s">
        <v>48</v>
      </c>
      <c r="F70" s="17" t="str">
        <f t="shared" si="28"/>
        <v>02-5053-01-00-00</v>
      </c>
      <c r="G70" s="36" t="s">
        <v>130</v>
      </c>
      <c r="H70" s="19">
        <f t="shared" si="63"/>
        <v>0</v>
      </c>
      <c r="I70" s="19">
        <f t="shared" si="63"/>
        <v>0</v>
      </c>
      <c r="J70" s="19">
        <f t="shared" si="63"/>
        <v>0</v>
      </c>
      <c r="K70" s="19">
        <f t="shared" si="63"/>
        <v>0</v>
      </c>
      <c r="L70" s="20">
        <v>0</v>
      </c>
      <c r="M70" s="20">
        <v>60000</v>
      </c>
      <c r="N70" s="206" t="s">
        <v>4</v>
      </c>
      <c r="P70" s="195">
        <f>INDEX('Apportionment Bases'!M$6:M$33,MATCH('PC2'!$N70,'Apportionment Bases'!$A$6:$A$33,0))</f>
        <v>1</v>
      </c>
      <c r="Q70" s="195">
        <f>INDEX('Apportionment Bases'!N$6:N$33,MATCH('PC2'!$N70,'Apportionment Bases'!$A$6:$A$33,0))</f>
        <v>0</v>
      </c>
      <c r="R70" s="199"/>
      <c r="S70" s="195">
        <f>INDEX('Apportionment Bases'!$P$6:$P$33,MATCH('PC2'!N70,'Apportionment Bases'!$A$6:$A$33,0))</f>
        <v>0</v>
      </c>
      <c r="T70" s="195">
        <f>INDEX('Apportionment Bases'!Q$6:Q$33,MATCH('PC2'!$N70,'Apportionment Bases'!$A$6:$A$33,0))</f>
        <v>0</v>
      </c>
      <c r="V70" s="72">
        <f t="shared" si="43"/>
        <v>0</v>
      </c>
      <c r="W70" s="72">
        <f t="shared" si="44"/>
        <v>0</v>
      </c>
      <c r="X70" s="66"/>
      <c r="Y70" s="72">
        <f t="shared" si="52"/>
        <v>0</v>
      </c>
      <c r="Z70" s="72">
        <f t="shared" si="53"/>
        <v>0</v>
      </c>
      <c r="AA70" s="48" t="str">
        <f t="shared" si="54"/>
        <v>TRUE</v>
      </c>
      <c r="AH70" s="300"/>
      <c r="AI70" s="72">
        <f t="shared" si="45"/>
        <v>0</v>
      </c>
      <c r="AJ70" s="72">
        <f t="shared" si="50"/>
        <v>0</v>
      </c>
      <c r="AK70" s="74"/>
      <c r="AL70" s="72">
        <f t="shared" si="55"/>
        <v>0</v>
      </c>
      <c r="AM70" s="72">
        <f t="shared" si="56"/>
        <v>0</v>
      </c>
      <c r="AN70" s="301"/>
      <c r="AO70" s="72">
        <f t="shared" si="46"/>
        <v>0</v>
      </c>
      <c r="AP70" s="72">
        <f t="shared" si="47"/>
        <v>0</v>
      </c>
      <c r="AQ70" s="74"/>
      <c r="AR70" s="72">
        <f t="shared" si="57"/>
        <v>0</v>
      </c>
      <c r="AS70" s="72">
        <f t="shared" si="58"/>
        <v>0</v>
      </c>
      <c r="AT70" s="301"/>
      <c r="AU70" s="72">
        <f t="shared" si="48"/>
        <v>0</v>
      </c>
      <c r="AV70" s="72">
        <f t="shared" si="49"/>
        <v>0</v>
      </c>
      <c r="AW70" s="66"/>
      <c r="AX70" s="72">
        <f t="shared" si="59"/>
        <v>0</v>
      </c>
      <c r="AY70" s="72">
        <f t="shared" si="60"/>
        <v>0</v>
      </c>
      <c r="AZ70" s="301"/>
      <c r="BA70" s="72">
        <f t="shared" si="39"/>
        <v>0</v>
      </c>
      <c r="BB70" s="72">
        <f t="shared" si="40"/>
        <v>0</v>
      </c>
      <c r="BC70" s="74"/>
      <c r="BD70" s="72">
        <f t="shared" si="61"/>
        <v>0</v>
      </c>
      <c r="BE70" s="72">
        <f t="shared" si="62"/>
        <v>0</v>
      </c>
      <c r="BF70" s="301"/>
      <c r="BG70" s="44"/>
      <c r="BH70" s="44"/>
      <c r="BI70" s="44"/>
      <c r="BJ70" s="44"/>
      <c r="BK70" s="44"/>
      <c r="BM70" s="44"/>
      <c r="BN70" s="44"/>
      <c r="BO70" s="44"/>
      <c r="BP70" s="44"/>
      <c r="BQ70" s="44"/>
      <c r="BS70" s="44"/>
      <c r="BT70" s="44"/>
      <c r="BU70" s="44"/>
      <c r="BV70" s="44"/>
      <c r="BW70" s="44"/>
      <c r="BY70" s="44"/>
      <c r="BZ70" s="44"/>
      <c r="CA70" s="44"/>
      <c r="CB70" s="44"/>
      <c r="CC70" s="44"/>
      <c r="CE70" s="44"/>
      <c r="CF70" s="44"/>
      <c r="CG70" s="44"/>
      <c r="CH70" s="44"/>
      <c r="CI70" s="44"/>
      <c r="CK70" s="44"/>
      <c r="CL70" s="44"/>
      <c r="CM70" s="44"/>
      <c r="CN70" s="44"/>
      <c r="CO70" s="44"/>
    </row>
    <row r="71" spans="1:93" x14ac:dyDescent="0.25">
      <c r="A71" s="35" t="s">
        <v>45</v>
      </c>
      <c r="B71" s="35" t="s">
        <v>131</v>
      </c>
      <c r="C71" s="35" t="s">
        <v>47</v>
      </c>
      <c r="D71" s="35" t="s">
        <v>48</v>
      </c>
      <c r="E71" s="35" t="s">
        <v>48</v>
      </c>
      <c r="F71" s="17" t="str">
        <f t="shared" si="28"/>
        <v>02-5054-01-00-00</v>
      </c>
      <c r="G71" s="36" t="s">
        <v>132</v>
      </c>
      <c r="H71" s="19">
        <f t="shared" si="63"/>
        <v>5000</v>
      </c>
      <c r="I71" s="19">
        <f t="shared" si="63"/>
        <v>5000</v>
      </c>
      <c r="J71" s="19">
        <f t="shared" si="63"/>
        <v>5000</v>
      </c>
      <c r="K71" s="19">
        <f t="shared" si="63"/>
        <v>5000</v>
      </c>
      <c r="L71" s="20">
        <v>20000</v>
      </c>
      <c r="M71" s="20">
        <v>20996</v>
      </c>
      <c r="N71" s="206" t="s">
        <v>4</v>
      </c>
      <c r="P71" s="195">
        <f>INDEX('Apportionment Bases'!M$6:M$33,MATCH('PC2'!$N71,'Apportionment Bases'!$A$6:$A$33,0))</f>
        <v>1</v>
      </c>
      <c r="Q71" s="195">
        <f>INDEX('Apportionment Bases'!N$6:N$33,MATCH('PC2'!$N71,'Apportionment Bases'!$A$6:$A$33,0))</f>
        <v>0</v>
      </c>
      <c r="R71" s="199"/>
      <c r="S71" s="195">
        <f>INDEX('Apportionment Bases'!$P$6:$P$33,MATCH('PC2'!N71,'Apportionment Bases'!$A$6:$A$33,0))</f>
        <v>0</v>
      </c>
      <c r="T71" s="195">
        <f>INDEX('Apportionment Bases'!Q$6:Q$33,MATCH('PC2'!$N71,'Apportionment Bases'!$A$6:$A$33,0))</f>
        <v>0</v>
      </c>
      <c r="V71" s="72">
        <f t="shared" si="43"/>
        <v>20000</v>
      </c>
      <c r="W71" s="72">
        <f t="shared" si="44"/>
        <v>0</v>
      </c>
      <c r="X71" s="66"/>
      <c r="Y71" s="72">
        <f t="shared" si="52"/>
        <v>0</v>
      </c>
      <c r="Z71" s="72">
        <f t="shared" si="53"/>
        <v>0</v>
      </c>
      <c r="AA71" s="48" t="str">
        <f t="shared" si="54"/>
        <v>TRUE</v>
      </c>
      <c r="AH71" s="300"/>
      <c r="AI71" s="72">
        <f t="shared" si="45"/>
        <v>4764</v>
      </c>
      <c r="AJ71" s="72">
        <f t="shared" si="50"/>
        <v>0</v>
      </c>
      <c r="AK71" s="74"/>
      <c r="AL71" s="72">
        <f t="shared" si="55"/>
        <v>0</v>
      </c>
      <c r="AM71" s="72">
        <f t="shared" si="56"/>
        <v>0</v>
      </c>
      <c r="AN71" s="301"/>
      <c r="AO71" s="72">
        <f t="shared" si="46"/>
        <v>3048</v>
      </c>
      <c r="AP71" s="72">
        <f t="shared" si="47"/>
        <v>0</v>
      </c>
      <c r="AQ71" s="74"/>
      <c r="AR71" s="72">
        <f t="shared" si="57"/>
        <v>0</v>
      </c>
      <c r="AS71" s="72">
        <f t="shared" si="58"/>
        <v>0</v>
      </c>
      <c r="AT71" s="301"/>
      <c r="AU71" s="72">
        <f t="shared" si="48"/>
        <v>4346</v>
      </c>
      <c r="AV71" s="72">
        <f t="shared" si="49"/>
        <v>0</v>
      </c>
      <c r="AW71" s="66"/>
      <c r="AX71" s="72">
        <f t="shared" si="59"/>
        <v>0</v>
      </c>
      <c r="AY71" s="72">
        <f t="shared" si="60"/>
        <v>0</v>
      </c>
      <c r="AZ71" s="301"/>
      <c r="BA71" s="72">
        <f t="shared" si="39"/>
        <v>7842</v>
      </c>
      <c r="BB71" s="72">
        <f t="shared" si="40"/>
        <v>0</v>
      </c>
      <c r="BC71" s="74"/>
      <c r="BD71" s="72">
        <f t="shared" si="61"/>
        <v>0</v>
      </c>
      <c r="BE71" s="72">
        <f t="shared" si="62"/>
        <v>0</v>
      </c>
      <c r="BF71" s="301"/>
      <c r="BG71" s="44"/>
      <c r="BH71" s="44"/>
      <c r="BI71" s="44"/>
      <c r="BJ71" s="44"/>
      <c r="BK71" s="44"/>
      <c r="BM71" s="44"/>
      <c r="BN71" s="44"/>
      <c r="BO71" s="44"/>
      <c r="BP71" s="44"/>
      <c r="BQ71" s="44"/>
      <c r="BS71" s="44"/>
      <c r="BT71" s="44"/>
      <c r="BU71" s="44"/>
      <c r="BV71" s="44"/>
      <c r="BW71" s="44"/>
      <c r="BY71" s="44"/>
      <c r="BZ71" s="44"/>
      <c r="CA71" s="44"/>
      <c r="CB71" s="44"/>
      <c r="CC71" s="44"/>
      <c r="CE71" s="44"/>
      <c r="CF71" s="44"/>
      <c r="CG71" s="44"/>
      <c r="CH71" s="44"/>
      <c r="CI71" s="44"/>
      <c r="CK71" s="44"/>
      <c r="CL71" s="44"/>
      <c r="CM71" s="44"/>
      <c r="CN71" s="44"/>
      <c r="CO71" s="44"/>
    </row>
    <row r="72" spans="1:93" x14ac:dyDescent="0.25">
      <c r="A72" s="35" t="s">
        <v>45</v>
      </c>
      <c r="B72" s="35" t="s">
        <v>133</v>
      </c>
      <c r="C72" s="35" t="s">
        <v>47</v>
      </c>
      <c r="D72" s="35" t="s">
        <v>48</v>
      </c>
      <c r="E72" s="35" t="s">
        <v>48</v>
      </c>
      <c r="F72" s="17" t="str">
        <f t="shared" si="28"/>
        <v>02-5055-01-00-00</v>
      </c>
      <c r="G72" s="36" t="s">
        <v>134</v>
      </c>
      <c r="H72" s="19">
        <f t="shared" si="63"/>
        <v>1500</v>
      </c>
      <c r="I72" s="19">
        <f t="shared" si="63"/>
        <v>1500</v>
      </c>
      <c r="J72" s="19">
        <f t="shared" si="63"/>
        <v>1500</v>
      </c>
      <c r="K72" s="19">
        <f t="shared" si="63"/>
        <v>1500</v>
      </c>
      <c r="L72" s="20">
        <v>6000</v>
      </c>
      <c r="M72" s="20">
        <v>6000</v>
      </c>
      <c r="N72" s="206" t="s">
        <v>4</v>
      </c>
      <c r="P72" s="195">
        <f>INDEX('Apportionment Bases'!M$6:M$33,MATCH('PC2'!$N72,'Apportionment Bases'!$A$6:$A$33,0))</f>
        <v>1</v>
      </c>
      <c r="Q72" s="195">
        <f>INDEX('Apportionment Bases'!N$6:N$33,MATCH('PC2'!$N72,'Apportionment Bases'!$A$6:$A$33,0))</f>
        <v>0</v>
      </c>
      <c r="R72" s="199"/>
      <c r="S72" s="195">
        <f>INDEX('Apportionment Bases'!$P$6:$P$33,MATCH('PC2'!N72,'Apportionment Bases'!$A$6:$A$33,0))</f>
        <v>0</v>
      </c>
      <c r="T72" s="195">
        <f>INDEX('Apportionment Bases'!Q$6:Q$33,MATCH('PC2'!$N72,'Apportionment Bases'!$A$6:$A$33,0))</f>
        <v>0</v>
      </c>
      <c r="V72" s="72">
        <f t="shared" si="43"/>
        <v>6000</v>
      </c>
      <c r="W72" s="72">
        <f t="shared" si="44"/>
        <v>0</v>
      </c>
      <c r="X72" s="66"/>
      <c r="Y72" s="72">
        <f t="shared" si="52"/>
        <v>0</v>
      </c>
      <c r="Z72" s="72">
        <f t="shared" si="53"/>
        <v>0</v>
      </c>
      <c r="AA72" s="48" t="str">
        <f t="shared" si="54"/>
        <v>TRUE</v>
      </c>
      <c r="AH72" s="300"/>
      <c r="AI72" s="72">
        <f t="shared" si="45"/>
        <v>1429.2</v>
      </c>
      <c r="AJ72" s="72">
        <f t="shared" si="50"/>
        <v>0</v>
      </c>
      <c r="AK72" s="74"/>
      <c r="AL72" s="72">
        <f t="shared" si="55"/>
        <v>0</v>
      </c>
      <c r="AM72" s="72">
        <f t="shared" si="56"/>
        <v>0</v>
      </c>
      <c r="AN72" s="301"/>
      <c r="AO72" s="72">
        <f t="shared" si="46"/>
        <v>914.40000000000009</v>
      </c>
      <c r="AP72" s="72">
        <f t="shared" si="47"/>
        <v>0</v>
      </c>
      <c r="AQ72" s="74"/>
      <c r="AR72" s="72">
        <f t="shared" si="57"/>
        <v>0</v>
      </c>
      <c r="AS72" s="72">
        <f t="shared" si="58"/>
        <v>0</v>
      </c>
      <c r="AT72" s="301"/>
      <c r="AU72" s="72">
        <f t="shared" si="48"/>
        <v>1303.8</v>
      </c>
      <c r="AV72" s="72">
        <f t="shared" si="49"/>
        <v>0</v>
      </c>
      <c r="AW72" s="66"/>
      <c r="AX72" s="72">
        <f t="shared" si="59"/>
        <v>0</v>
      </c>
      <c r="AY72" s="72">
        <f t="shared" si="60"/>
        <v>0</v>
      </c>
      <c r="AZ72" s="301"/>
      <c r="BA72" s="72">
        <f t="shared" si="39"/>
        <v>2352.6</v>
      </c>
      <c r="BB72" s="72">
        <f t="shared" si="40"/>
        <v>0</v>
      </c>
      <c r="BC72" s="74"/>
      <c r="BD72" s="72">
        <f t="shared" si="61"/>
        <v>0</v>
      </c>
      <c r="BE72" s="72">
        <f t="shared" si="62"/>
        <v>0</v>
      </c>
      <c r="BF72" s="301"/>
      <c r="BG72" s="44"/>
      <c r="BH72" s="44"/>
      <c r="BI72" s="44"/>
      <c r="BJ72" s="44"/>
      <c r="BK72" s="44"/>
      <c r="BM72" s="44"/>
      <c r="BN72" s="44"/>
      <c r="BO72" s="44"/>
      <c r="BP72" s="44"/>
      <c r="BQ72" s="44"/>
      <c r="BS72" s="44"/>
      <c r="BT72" s="44"/>
      <c r="BU72" s="44"/>
      <c r="BV72" s="44"/>
      <c r="BW72" s="44"/>
      <c r="BY72" s="44"/>
      <c r="BZ72" s="44"/>
      <c r="CA72" s="44"/>
      <c r="CB72" s="44"/>
      <c r="CC72" s="44"/>
      <c r="CE72" s="44"/>
      <c r="CF72" s="44"/>
      <c r="CG72" s="44"/>
      <c r="CH72" s="44"/>
      <c r="CI72" s="44"/>
      <c r="CK72" s="44"/>
      <c r="CL72" s="44"/>
      <c r="CM72" s="44"/>
      <c r="CN72" s="44"/>
      <c r="CO72" s="44"/>
    </row>
    <row r="73" spans="1:93" x14ac:dyDescent="0.25">
      <c r="A73" s="35" t="s">
        <v>45</v>
      </c>
      <c r="B73" s="35" t="s">
        <v>135</v>
      </c>
      <c r="C73" s="35" t="s">
        <v>47</v>
      </c>
      <c r="D73" s="35" t="s">
        <v>48</v>
      </c>
      <c r="E73" s="35" t="s">
        <v>48</v>
      </c>
      <c r="F73" s="17" t="str">
        <f t="shared" si="28"/>
        <v>02-5056-01-00-00</v>
      </c>
      <c r="G73" s="37" t="s">
        <v>136</v>
      </c>
      <c r="H73" s="19">
        <f t="shared" si="63"/>
        <v>34500</v>
      </c>
      <c r="I73" s="19">
        <f t="shared" si="63"/>
        <v>34500</v>
      </c>
      <c r="J73" s="19">
        <f t="shared" si="63"/>
        <v>34500</v>
      </c>
      <c r="K73" s="19">
        <f t="shared" si="63"/>
        <v>34500</v>
      </c>
      <c r="L73" s="20">
        <v>138000</v>
      </c>
      <c r="M73" s="20">
        <v>142004</v>
      </c>
      <c r="N73" s="206" t="s">
        <v>4</v>
      </c>
      <c r="P73" s="195">
        <f>INDEX('Apportionment Bases'!M$6:M$33,MATCH('PC2'!$N73,'Apportionment Bases'!$A$6:$A$33,0))</f>
        <v>1</v>
      </c>
      <c r="Q73" s="195">
        <f>INDEX('Apportionment Bases'!N$6:N$33,MATCH('PC2'!$N73,'Apportionment Bases'!$A$6:$A$33,0))</f>
        <v>0</v>
      </c>
      <c r="R73" s="199"/>
      <c r="S73" s="195">
        <f>INDEX('Apportionment Bases'!$P$6:$P$33,MATCH('PC2'!N73,'Apportionment Bases'!$A$6:$A$33,0))</f>
        <v>0</v>
      </c>
      <c r="T73" s="195">
        <f>INDEX('Apportionment Bases'!Q$6:Q$33,MATCH('PC2'!$N73,'Apportionment Bases'!$A$6:$A$33,0))</f>
        <v>0</v>
      </c>
      <c r="V73" s="72">
        <f t="shared" si="43"/>
        <v>138000</v>
      </c>
      <c r="W73" s="72">
        <f t="shared" si="44"/>
        <v>0</v>
      </c>
      <c r="X73" s="66"/>
      <c r="Y73" s="72">
        <f t="shared" si="52"/>
        <v>0</v>
      </c>
      <c r="Z73" s="72">
        <f t="shared" si="53"/>
        <v>0</v>
      </c>
      <c r="AA73" s="48" t="str">
        <f t="shared" si="54"/>
        <v>TRUE</v>
      </c>
      <c r="AH73" s="300"/>
      <c r="AI73" s="72">
        <f t="shared" si="45"/>
        <v>32871.599999999999</v>
      </c>
      <c r="AJ73" s="72">
        <f t="shared" si="50"/>
        <v>0</v>
      </c>
      <c r="AK73" s="74"/>
      <c r="AL73" s="72">
        <f t="shared" si="55"/>
        <v>0</v>
      </c>
      <c r="AM73" s="72">
        <f t="shared" si="56"/>
        <v>0</v>
      </c>
      <c r="AN73" s="301"/>
      <c r="AO73" s="72">
        <f t="shared" si="46"/>
        <v>21031.200000000001</v>
      </c>
      <c r="AP73" s="72">
        <f t="shared" si="47"/>
        <v>0</v>
      </c>
      <c r="AQ73" s="74"/>
      <c r="AR73" s="72">
        <f t="shared" si="57"/>
        <v>0</v>
      </c>
      <c r="AS73" s="72">
        <f t="shared" si="58"/>
        <v>0</v>
      </c>
      <c r="AT73" s="301"/>
      <c r="AU73" s="72">
        <f t="shared" si="48"/>
        <v>29987.399999999998</v>
      </c>
      <c r="AV73" s="72">
        <f t="shared" si="49"/>
        <v>0</v>
      </c>
      <c r="AW73" s="66"/>
      <c r="AX73" s="72">
        <f t="shared" si="59"/>
        <v>0</v>
      </c>
      <c r="AY73" s="72">
        <f t="shared" si="60"/>
        <v>0</v>
      </c>
      <c r="AZ73" s="301"/>
      <c r="BA73" s="72">
        <f t="shared" si="39"/>
        <v>54109.8</v>
      </c>
      <c r="BB73" s="72">
        <f t="shared" si="40"/>
        <v>0</v>
      </c>
      <c r="BC73" s="74"/>
      <c r="BD73" s="72">
        <f t="shared" si="61"/>
        <v>0</v>
      </c>
      <c r="BE73" s="72">
        <f t="shared" si="62"/>
        <v>0</v>
      </c>
      <c r="BF73" s="301"/>
      <c r="BG73" s="44"/>
      <c r="BH73" s="44"/>
      <c r="BI73" s="44"/>
      <c r="BJ73" s="44"/>
      <c r="BK73" s="44"/>
      <c r="BM73" s="44"/>
      <c r="BN73" s="44"/>
      <c r="BO73" s="44"/>
      <c r="BP73" s="44"/>
      <c r="BQ73" s="44"/>
      <c r="BS73" s="44"/>
      <c r="BT73" s="44"/>
      <c r="BU73" s="44"/>
      <c r="BV73" s="44"/>
      <c r="BW73" s="44"/>
      <c r="BY73" s="44"/>
      <c r="BZ73" s="44"/>
      <c r="CA73" s="44"/>
      <c r="CB73" s="44"/>
      <c r="CC73" s="44"/>
      <c r="CE73" s="44"/>
      <c r="CF73" s="44"/>
      <c r="CG73" s="44"/>
      <c r="CH73" s="44"/>
      <c r="CI73" s="44"/>
      <c r="CK73" s="44"/>
      <c r="CL73" s="44"/>
      <c r="CM73" s="44"/>
      <c r="CN73" s="44"/>
      <c r="CO73" s="44"/>
    </row>
    <row r="74" spans="1:93" x14ac:dyDescent="0.25">
      <c r="A74" s="35" t="s">
        <v>45</v>
      </c>
      <c r="B74" s="35" t="s">
        <v>137</v>
      </c>
      <c r="C74" s="35" t="s">
        <v>47</v>
      </c>
      <c r="D74" s="35" t="s">
        <v>48</v>
      </c>
      <c r="E74" s="35" t="s">
        <v>48</v>
      </c>
      <c r="F74" s="17" t="str">
        <f t="shared" si="28"/>
        <v>02-5057-01-00-00</v>
      </c>
      <c r="G74" s="37" t="s">
        <v>138</v>
      </c>
      <c r="H74" s="19">
        <f t="shared" si="63"/>
        <v>60000</v>
      </c>
      <c r="I74" s="19">
        <f t="shared" si="63"/>
        <v>60000</v>
      </c>
      <c r="J74" s="19">
        <f t="shared" si="63"/>
        <v>60000</v>
      </c>
      <c r="K74" s="19">
        <f t="shared" si="63"/>
        <v>60000</v>
      </c>
      <c r="L74" s="20">
        <v>240000</v>
      </c>
      <c r="M74" s="20">
        <v>246996</v>
      </c>
      <c r="N74" s="206" t="s">
        <v>3</v>
      </c>
      <c r="P74" s="195">
        <f>INDEX('Apportionment Bases'!M$6:M$33,MATCH('PC2'!$N74,'Apportionment Bases'!$A$6:$A$33,0))</f>
        <v>0</v>
      </c>
      <c r="Q74" s="195">
        <f>INDEX('Apportionment Bases'!N$6:N$33,MATCH('PC2'!$N74,'Apportionment Bases'!$A$6:$A$33,0))</f>
        <v>1</v>
      </c>
      <c r="R74" s="199"/>
      <c r="S74" s="195">
        <f>INDEX('Apportionment Bases'!$P$6:$P$33,MATCH('PC2'!N74,'Apportionment Bases'!$A$6:$A$33,0))</f>
        <v>0</v>
      </c>
      <c r="T74" s="195">
        <f>INDEX('Apportionment Bases'!Q$6:Q$33,MATCH('PC2'!$N74,'Apportionment Bases'!$A$6:$A$33,0))</f>
        <v>0</v>
      </c>
      <c r="V74" s="72">
        <f t="shared" si="43"/>
        <v>0</v>
      </c>
      <c r="W74" s="72">
        <f t="shared" si="44"/>
        <v>240000</v>
      </c>
      <c r="X74" s="66"/>
      <c r="Y74" s="72">
        <f t="shared" si="52"/>
        <v>0</v>
      </c>
      <c r="Z74" s="72">
        <f t="shared" si="53"/>
        <v>0</v>
      </c>
      <c r="AA74" s="48" t="str">
        <f t="shared" si="54"/>
        <v>TRUE</v>
      </c>
      <c r="AH74" s="300"/>
      <c r="AI74" s="72">
        <f t="shared" si="45"/>
        <v>0</v>
      </c>
      <c r="AJ74" s="72">
        <f t="shared" si="50"/>
        <v>66000</v>
      </c>
      <c r="AK74" s="74"/>
      <c r="AL74" s="72">
        <f t="shared" si="55"/>
        <v>0</v>
      </c>
      <c r="AM74" s="72">
        <f t="shared" si="56"/>
        <v>0</v>
      </c>
      <c r="AN74" s="301"/>
      <c r="AO74" s="72">
        <f t="shared" si="46"/>
        <v>0</v>
      </c>
      <c r="AP74" s="72">
        <f t="shared" si="47"/>
        <v>46776</v>
      </c>
      <c r="AQ74" s="74"/>
      <c r="AR74" s="72">
        <f t="shared" si="57"/>
        <v>0</v>
      </c>
      <c r="AS74" s="72">
        <f t="shared" si="58"/>
        <v>0</v>
      </c>
      <c r="AT74" s="301"/>
      <c r="AU74" s="72">
        <f t="shared" si="48"/>
        <v>0</v>
      </c>
      <c r="AV74" s="72">
        <f t="shared" si="49"/>
        <v>57384</v>
      </c>
      <c r="AW74" s="66"/>
      <c r="AX74" s="72">
        <f t="shared" si="59"/>
        <v>0</v>
      </c>
      <c r="AY74" s="72">
        <f t="shared" si="60"/>
        <v>0</v>
      </c>
      <c r="AZ74" s="301"/>
      <c r="BA74" s="72">
        <f t="shared" si="39"/>
        <v>0</v>
      </c>
      <c r="BB74" s="72">
        <f t="shared" si="40"/>
        <v>69840</v>
      </c>
      <c r="BC74" s="74"/>
      <c r="BD74" s="72">
        <f t="shared" si="61"/>
        <v>0</v>
      </c>
      <c r="BE74" s="72">
        <f t="shared" si="62"/>
        <v>0</v>
      </c>
      <c r="BF74" s="301"/>
      <c r="BG74" s="44"/>
      <c r="BH74" s="44"/>
      <c r="BI74" s="44"/>
      <c r="BJ74" s="44"/>
      <c r="BK74" s="44"/>
      <c r="BM74" s="44"/>
      <c r="BN74" s="44"/>
      <c r="BO74" s="44"/>
      <c r="BP74" s="44"/>
      <c r="BQ74" s="44"/>
      <c r="BS74" s="44"/>
      <c r="BT74" s="44"/>
      <c r="BU74" s="44"/>
      <c r="BV74" s="44"/>
      <c r="BW74" s="44"/>
      <c r="BY74" s="44"/>
      <c r="BZ74" s="44"/>
      <c r="CA74" s="44"/>
      <c r="CB74" s="44"/>
      <c r="CC74" s="44"/>
      <c r="CE74" s="44"/>
      <c r="CF74" s="44"/>
      <c r="CG74" s="44"/>
      <c r="CH74" s="44"/>
      <c r="CI74" s="44"/>
      <c r="CK74" s="44"/>
      <c r="CL74" s="44"/>
      <c r="CM74" s="44"/>
      <c r="CN74" s="44"/>
      <c r="CO74" s="44"/>
    </row>
    <row r="75" spans="1:93" x14ac:dyDescent="0.25">
      <c r="A75" s="35" t="s">
        <v>45</v>
      </c>
      <c r="B75" s="35" t="s">
        <v>139</v>
      </c>
      <c r="C75" s="35" t="s">
        <v>47</v>
      </c>
      <c r="D75" s="35" t="s">
        <v>48</v>
      </c>
      <c r="E75" s="35" t="s">
        <v>48</v>
      </c>
      <c r="F75" s="17" t="str">
        <f t="shared" si="28"/>
        <v>02-5058-01-00-00</v>
      </c>
      <c r="G75" s="37" t="s">
        <v>140</v>
      </c>
      <c r="H75" s="19">
        <f t="shared" si="63"/>
        <v>6500</v>
      </c>
      <c r="I75" s="19">
        <f t="shared" si="63"/>
        <v>6500</v>
      </c>
      <c r="J75" s="19">
        <f t="shared" si="63"/>
        <v>6500</v>
      </c>
      <c r="K75" s="19">
        <f t="shared" si="63"/>
        <v>6500</v>
      </c>
      <c r="L75" s="20">
        <v>26000</v>
      </c>
      <c r="M75" s="20">
        <v>27000</v>
      </c>
      <c r="N75" s="206" t="s">
        <v>705</v>
      </c>
      <c r="P75" s="195">
        <f>INDEX('Apportionment Bases'!M$6:M$33,MATCH('PC2'!$N75,'Apportionment Bases'!$A$6:$A$33,0))</f>
        <v>0</v>
      </c>
      <c r="Q75" s="195">
        <f>INDEX('Apportionment Bases'!N$6:N$33,MATCH('PC2'!$N75,'Apportionment Bases'!$A$6:$A$33,0))</f>
        <v>0</v>
      </c>
      <c r="R75" s="199"/>
      <c r="S75" s="195">
        <f>INDEX('Apportionment Bases'!$P$6:$P$33,MATCH('PC2'!N75,'Apportionment Bases'!$A$6:$A$33,0))</f>
        <v>0.5</v>
      </c>
      <c r="T75" s="195">
        <f>INDEX('Apportionment Bases'!Q$6:Q$33,MATCH('PC2'!$N75,'Apportionment Bases'!$A$6:$A$33,0))</f>
        <v>0.5</v>
      </c>
      <c r="V75" s="72">
        <f t="shared" si="43"/>
        <v>0</v>
      </c>
      <c r="W75" s="72">
        <f t="shared" si="44"/>
        <v>0</v>
      </c>
      <c r="X75" s="66"/>
      <c r="Y75" s="72">
        <f t="shared" si="52"/>
        <v>13000</v>
      </c>
      <c r="Z75" s="72">
        <f t="shared" si="53"/>
        <v>13000</v>
      </c>
      <c r="AA75" s="48" t="str">
        <f t="shared" si="54"/>
        <v>TRUE</v>
      </c>
      <c r="AH75" s="300"/>
      <c r="AI75" s="72">
        <f t="shared" si="45"/>
        <v>0</v>
      </c>
      <c r="AJ75" s="72">
        <f t="shared" si="50"/>
        <v>0</v>
      </c>
      <c r="AK75" s="74"/>
      <c r="AL75" s="72">
        <f t="shared" si="55"/>
        <v>3900</v>
      </c>
      <c r="AM75" s="72">
        <f t="shared" si="56"/>
        <v>4000.0999999999995</v>
      </c>
      <c r="AN75" s="301"/>
      <c r="AO75" s="72">
        <f t="shared" si="46"/>
        <v>0</v>
      </c>
      <c r="AP75" s="72">
        <f t="shared" si="47"/>
        <v>0</v>
      </c>
      <c r="AQ75" s="74"/>
      <c r="AR75" s="72">
        <f t="shared" si="57"/>
        <v>2810.6</v>
      </c>
      <c r="AS75" s="72">
        <f t="shared" si="58"/>
        <v>3000.4</v>
      </c>
      <c r="AT75" s="301"/>
      <c r="AU75" s="72">
        <f t="shared" si="48"/>
        <v>0</v>
      </c>
      <c r="AV75" s="72">
        <f t="shared" si="49"/>
        <v>0</v>
      </c>
      <c r="AW75" s="66"/>
      <c r="AX75" s="72">
        <f t="shared" si="59"/>
        <v>2600</v>
      </c>
      <c r="AY75" s="72">
        <f t="shared" si="60"/>
        <v>3749.2</v>
      </c>
      <c r="AZ75" s="301"/>
      <c r="BA75" s="72">
        <f t="shared" si="39"/>
        <v>0</v>
      </c>
      <c r="BB75" s="72">
        <f t="shared" si="40"/>
        <v>0</v>
      </c>
      <c r="BC75" s="74"/>
      <c r="BD75" s="72">
        <f t="shared" si="61"/>
        <v>3689.4</v>
      </c>
      <c r="BE75" s="72">
        <f t="shared" si="62"/>
        <v>2250.3000000000002</v>
      </c>
      <c r="BF75" s="301"/>
      <c r="BG75" s="44"/>
      <c r="BH75" s="44"/>
      <c r="BI75" s="44"/>
      <c r="BJ75" s="44"/>
      <c r="BK75" s="44"/>
      <c r="BM75" s="44"/>
      <c r="BN75" s="44"/>
      <c r="BO75" s="44"/>
      <c r="BP75" s="44"/>
      <c r="BQ75" s="44"/>
      <c r="BS75" s="44"/>
      <c r="BT75" s="44"/>
      <c r="BU75" s="44"/>
      <c r="BV75" s="44"/>
      <c r="BW75" s="44"/>
      <c r="BY75" s="44"/>
      <c r="BZ75" s="44"/>
      <c r="CA75" s="44"/>
      <c r="CB75" s="44"/>
      <c r="CC75" s="44"/>
      <c r="CE75" s="44"/>
      <c r="CF75" s="44"/>
      <c r="CG75" s="44"/>
      <c r="CH75" s="44"/>
      <c r="CI75" s="44"/>
      <c r="CK75" s="44"/>
      <c r="CL75" s="44"/>
      <c r="CM75" s="44"/>
      <c r="CN75" s="44"/>
      <c r="CO75" s="44"/>
    </row>
    <row r="76" spans="1:93" x14ac:dyDescent="0.25">
      <c r="A76" s="35" t="s">
        <v>45</v>
      </c>
      <c r="B76" s="35" t="s">
        <v>141</v>
      </c>
      <c r="C76" s="35" t="s">
        <v>47</v>
      </c>
      <c r="D76" s="35" t="s">
        <v>48</v>
      </c>
      <c r="E76" s="35" t="s">
        <v>48</v>
      </c>
      <c r="F76" s="17" t="str">
        <f t="shared" si="28"/>
        <v>02-5059-01-00-00</v>
      </c>
      <c r="G76" s="37" t="s">
        <v>142</v>
      </c>
      <c r="H76" s="19">
        <f t="shared" si="63"/>
        <v>62500</v>
      </c>
      <c r="I76" s="19">
        <f t="shared" si="63"/>
        <v>62500</v>
      </c>
      <c r="J76" s="19">
        <f t="shared" si="63"/>
        <v>62500</v>
      </c>
      <c r="K76" s="19">
        <f t="shared" si="63"/>
        <v>62500</v>
      </c>
      <c r="L76" s="20">
        <v>250000</v>
      </c>
      <c r="M76" s="20">
        <v>485004</v>
      </c>
      <c r="N76" s="206" t="s">
        <v>4</v>
      </c>
      <c r="P76" s="195">
        <f>INDEX('Apportionment Bases'!M$6:M$33,MATCH('PC2'!$N76,'Apportionment Bases'!$A$6:$A$33,0))</f>
        <v>1</v>
      </c>
      <c r="Q76" s="195">
        <f>INDEX('Apportionment Bases'!N$6:N$33,MATCH('PC2'!$N76,'Apportionment Bases'!$A$6:$A$33,0))</f>
        <v>0</v>
      </c>
      <c r="R76" s="199"/>
      <c r="S76" s="195">
        <f>INDEX('Apportionment Bases'!$P$6:$P$33,MATCH('PC2'!N76,'Apportionment Bases'!$A$6:$A$33,0))</f>
        <v>0</v>
      </c>
      <c r="T76" s="195">
        <f>INDEX('Apportionment Bases'!Q$6:Q$33,MATCH('PC2'!$N76,'Apportionment Bases'!$A$6:$A$33,0))</f>
        <v>0</v>
      </c>
      <c r="V76" s="72">
        <f t="shared" si="43"/>
        <v>250000</v>
      </c>
      <c r="W76" s="72">
        <f t="shared" si="44"/>
        <v>0</v>
      </c>
      <c r="X76" s="66"/>
      <c r="Y76" s="72">
        <f t="shared" si="52"/>
        <v>0</v>
      </c>
      <c r="Z76" s="72">
        <f t="shared" si="53"/>
        <v>0</v>
      </c>
      <c r="AA76" s="48" t="str">
        <f t="shared" si="54"/>
        <v>TRUE</v>
      </c>
      <c r="AH76" s="300"/>
      <c r="AI76" s="72">
        <f t="shared" si="45"/>
        <v>59550</v>
      </c>
      <c r="AJ76" s="72">
        <f t="shared" si="50"/>
        <v>0</v>
      </c>
      <c r="AK76" s="74"/>
      <c r="AL76" s="72">
        <f t="shared" si="55"/>
        <v>0</v>
      </c>
      <c r="AM76" s="72">
        <f t="shared" si="56"/>
        <v>0</v>
      </c>
      <c r="AN76" s="301"/>
      <c r="AO76" s="72">
        <f t="shared" si="46"/>
        <v>38100</v>
      </c>
      <c r="AP76" s="72">
        <f t="shared" si="47"/>
        <v>0</v>
      </c>
      <c r="AQ76" s="74"/>
      <c r="AR76" s="72">
        <f t="shared" si="57"/>
        <v>0</v>
      </c>
      <c r="AS76" s="72">
        <f t="shared" si="58"/>
        <v>0</v>
      </c>
      <c r="AT76" s="301"/>
      <c r="AU76" s="72">
        <f t="shared" si="48"/>
        <v>54325</v>
      </c>
      <c r="AV76" s="72">
        <f t="shared" si="49"/>
        <v>0</v>
      </c>
      <c r="AW76" s="66"/>
      <c r="AX76" s="72">
        <f t="shared" si="59"/>
        <v>0</v>
      </c>
      <c r="AY76" s="72">
        <f t="shared" si="60"/>
        <v>0</v>
      </c>
      <c r="AZ76" s="301"/>
      <c r="BA76" s="72">
        <f t="shared" si="39"/>
        <v>98025</v>
      </c>
      <c r="BB76" s="72">
        <f t="shared" si="40"/>
        <v>0</v>
      </c>
      <c r="BC76" s="74"/>
      <c r="BD76" s="72">
        <f t="shared" si="61"/>
        <v>0</v>
      </c>
      <c r="BE76" s="72">
        <f t="shared" si="62"/>
        <v>0</v>
      </c>
      <c r="BF76" s="301"/>
      <c r="BG76" s="44"/>
      <c r="BH76" s="44"/>
      <c r="BI76" s="44"/>
      <c r="BJ76" s="44"/>
      <c r="BK76" s="44"/>
      <c r="BM76" s="44"/>
      <c r="BN76" s="44"/>
      <c r="BO76" s="44"/>
      <c r="BP76" s="44"/>
      <c r="BQ76" s="44"/>
      <c r="BS76" s="44"/>
      <c r="BT76" s="44"/>
      <c r="BU76" s="44"/>
      <c r="BV76" s="44"/>
      <c r="BW76" s="44"/>
      <c r="BY76" s="44"/>
      <c r="BZ76" s="44"/>
      <c r="CA76" s="44"/>
      <c r="CB76" s="44"/>
      <c r="CC76" s="44"/>
      <c r="CE76" s="44"/>
      <c r="CF76" s="44"/>
      <c r="CG76" s="44"/>
      <c r="CH76" s="44"/>
      <c r="CI76" s="44"/>
      <c r="CK76" s="44"/>
      <c r="CL76" s="44"/>
      <c r="CM76" s="44"/>
      <c r="CN76" s="44"/>
      <c r="CO76" s="44"/>
    </row>
    <row r="77" spans="1:93" x14ac:dyDescent="0.25">
      <c r="A77" s="110" t="s">
        <v>45</v>
      </c>
      <c r="B77" s="110" t="s">
        <v>143</v>
      </c>
      <c r="C77" s="110" t="s">
        <v>47</v>
      </c>
      <c r="D77" s="110" t="s">
        <v>48</v>
      </c>
      <c r="E77" s="110" t="s">
        <v>48</v>
      </c>
      <c r="F77" s="110" t="str">
        <f t="shared" si="28"/>
        <v>02-5061-01-00-00</v>
      </c>
      <c r="G77" s="62" t="s">
        <v>144</v>
      </c>
      <c r="H77" s="19">
        <f t="shared" si="63"/>
        <v>250</v>
      </c>
      <c r="I77" s="19">
        <f t="shared" si="63"/>
        <v>250</v>
      </c>
      <c r="J77" s="19">
        <f t="shared" si="63"/>
        <v>250</v>
      </c>
      <c r="K77" s="19">
        <f t="shared" si="63"/>
        <v>250</v>
      </c>
      <c r="L77" s="20">
        <v>1000</v>
      </c>
      <c r="M77" s="20">
        <v>1016</v>
      </c>
      <c r="N77" s="206" t="s">
        <v>705</v>
      </c>
      <c r="P77" s="195">
        <f>INDEX('Apportionment Bases'!M$6:M$33,MATCH('PC2'!$N77,'Apportionment Bases'!$A$6:$A$33,0))</f>
        <v>0</v>
      </c>
      <c r="Q77" s="195">
        <f>INDEX('Apportionment Bases'!N$6:N$33,MATCH('PC2'!$N77,'Apportionment Bases'!$A$6:$A$33,0))</f>
        <v>0</v>
      </c>
      <c r="R77" s="199"/>
      <c r="S77" s="195">
        <f>INDEX('Apportionment Bases'!$P$6:$P$33,MATCH('PC2'!N77,'Apportionment Bases'!$A$6:$A$33,0))</f>
        <v>0.5</v>
      </c>
      <c r="T77" s="195">
        <f>INDEX('Apportionment Bases'!Q$6:Q$33,MATCH('PC2'!$N77,'Apportionment Bases'!$A$6:$A$33,0))</f>
        <v>0.5</v>
      </c>
      <c r="V77" s="72">
        <f t="shared" si="43"/>
        <v>0</v>
      </c>
      <c r="W77" s="72">
        <f t="shared" si="44"/>
        <v>0</v>
      </c>
      <c r="X77" s="66"/>
      <c r="Y77" s="72">
        <f t="shared" si="52"/>
        <v>500</v>
      </c>
      <c r="Z77" s="72">
        <f t="shared" si="53"/>
        <v>500</v>
      </c>
      <c r="AA77" s="48" t="str">
        <f t="shared" si="54"/>
        <v>TRUE</v>
      </c>
      <c r="AH77" s="300"/>
      <c r="AI77" s="72">
        <f t="shared" si="45"/>
        <v>0</v>
      </c>
      <c r="AJ77" s="72">
        <f t="shared" si="50"/>
        <v>0</v>
      </c>
      <c r="AK77" s="74"/>
      <c r="AL77" s="72">
        <f t="shared" si="55"/>
        <v>150</v>
      </c>
      <c r="AM77" s="72">
        <f t="shared" si="56"/>
        <v>153.85</v>
      </c>
      <c r="AN77" s="301"/>
      <c r="AO77" s="72">
        <f t="shared" si="46"/>
        <v>0</v>
      </c>
      <c r="AP77" s="72">
        <f t="shared" si="47"/>
        <v>0</v>
      </c>
      <c r="AQ77" s="74"/>
      <c r="AR77" s="72">
        <f t="shared" si="57"/>
        <v>108.10000000000001</v>
      </c>
      <c r="AS77" s="72">
        <f t="shared" si="58"/>
        <v>115.4</v>
      </c>
      <c r="AT77" s="301"/>
      <c r="AU77" s="72">
        <f t="shared" si="48"/>
        <v>0</v>
      </c>
      <c r="AV77" s="72">
        <f t="shared" si="49"/>
        <v>0</v>
      </c>
      <c r="AW77" s="66"/>
      <c r="AX77" s="72">
        <f t="shared" si="59"/>
        <v>100</v>
      </c>
      <c r="AY77" s="72">
        <f t="shared" si="60"/>
        <v>144.19999999999999</v>
      </c>
      <c r="AZ77" s="301"/>
      <c r="BA77" s="72">
        <f t="shared" si="39"/>
        <v>0</v>
      </c>
      <c r="BB77" s="72">
        <f t="shared" si="40"/>
        <v>0</v>
      </c>
      <c r="BC77" s="74"/>
      <c r="BD77" s="72">
        <f t="shared" si="61"/>
        <v>141.9</v>
      </c>
      <c r="BE77" s="72">
        <f t="shared" si="62"/>
        <v>86.55</v>
      </c>
      <c r="BF77" s="301"/>
      <c r="BG77" s="44"/>
      <c r="BH77" s="44"/>
      <c r="BI77" s="44"/>
      <c r="BJ77" s="44"/>
      <c r="BK77" s="44"/>
      <c r="BM77" s="44"/>
      <c r="BN77" s="44"/>
      <c r="BO77" s="44"/>
      <c r="BP77" s="44"/>
      <c r="BQ77" s="44"/>
      <c r="BS77" s="44"/>
      <c r="BT77" s="44"/>
      <c r="BU77" s="44"/>
      <c r="BV77" s="44"/>
      <c r="BW77" s="44"/>
      <c r="BY77" s="44"/>
      <c r="BZ77" s="44"/>
      <c r="CA77" s="44"/>
      <c r="CB77" s="44"/>
      <c r="CC77" s="44"/>
      <c r="CE77" s="44"/>
      <c r="CF77" s="44"/>
      <c r="CG77" s="44"/>
      <c r="CH77" s="44"/>
      <c r="CI77" s="44"/>
      <c r="CK77" s="44"/>
      <c r="CL77" s="44"/>
      <c r="CM77" s="44"/>
      <c r="CN77" s="44"/>
      <c r="CO77" s="44"/>
    </row>
    <row r="78" spans="1:93" x14ac:dyDescent="0.25">
      <c r="A78" s="110" t="s">
        <v>45</v>
      </c>
      <c r="B78" s="110" t="s">
        <v>143</v>
      </c>
      <c r="C78" s="110" t="s">
        <v>45</v>
      </c>
      <c r="D78" s="110" t="s">
        <v>48</v>
      </c>
      <c r="E78" s="110" t="s">
        <v>48</v>
      </c>
      <c r="F78" s="110" t="str">
        <f t="shared" si="28"/>
        <v>02-5061-02-00-00</v>
      </c>
      <c r="G78" s="62" t="s">
        <v>144</v>
      </c>
      <c r="H78" s="19">
        <f t="shared" si="63"/>
        <v>125</v>
      </c>
      <c r="I78" s="19">
        <f t="shared" si="63"/>
        <v>125</v>
      </c>
      <c r="J78" s="19">
        <f t="shared" si="63"/>
        <v>125</v>
      </c>
      <c r="K78" s="19">
        <f t="shared" si="63"/>
        <v>125</v>
      </c>
      <c r="L78" s="20">
        <v>500</v>
      </c>
      <c r="M78" s="20">
        <v>1008</v>
      </c>
      <c r="N78" s="206" t="s">
        <v>705</v>
      </c>
      <c r="P78" s="195">
        <f>INDEX('Apportionment Bases'!M$6:M$33,MATCH('PC2'!$N78,'Apportionment Bases'!$A$6:$A$33,0))</f>
        <v>0</v>
      </c>
      <c r="Q78" s="195">
        <f>INDEX('Apportionment Bases'!N$6:N$33,MATCH('PC2'!$N78,'Apportionment Bases'!$A$6:$A$33,0))</f>
        <v>0</v>
      </c>
      <c r="R78" s="199"/>
      <c r="S78" s="195">
        <f>INDEX('Apportionment Bases'!$P$6:$P$33,MATCH('PC2'!N78,'Apportionment Bases'!$A$6:$A$33,0))</f>
        <v>0.5</v>
      </c>
      <c r="T78" s="195">
        <f>INDEX('Apportionment Bases'!Q$6:Q$33,MATCH('PC2'!$N78,'Apportionment Bases'!$A$6:$A$33,0))</f>
        <v>0.5</v>
      </c>
      <c r="V78" s="72">
        <f t="shared" si="43"/>
        <v>0</v>
      </c>
      <c r="W78" s="72">
        <f t="shared" si="44"/>
        <v>0</v>
      </c>
      <c r="X78" s="66"/>
      <c r="Y78" s="72">
        <f t="shared" si="52"/>
        <v>250</v>
      </c>
      <c r="Z78" s="72">
        <f t="shared" si="53"/>
        <v>250</v>
      </c>
      <c r="AA78" s="48" t="str">
        <f t="shared" si="54"/>
        <v>TRUE</v>
      </c>
      <c r="AH78" s="300"/>
      <c r="AI78" s="72">
        <f t="shared" si="45"/>
        <v>0</v>
      </c>
      <c r="AJ78" s="72">
        <f t="shared" si="50"/>
        <v>0</v>
      </c>
      <c r="AK78" s="74"/>
      <c r="AL78" s="72">
        <f t="shared" si="55"/>
        <v>75</v>
      </c>
      <c r="AM78" s="72">
        <f t="shared" si="56"/>
        <v>76.924999999999997</v>
      </c>
      <c r="AN78" s="301"/>
      <c r="AO78" s="72">
        <f t="shared" si="46"/>
        <v>0</v>
      </c>
      <c r="AP78" s="72">
        <f t="shared" si="47"/>
        <v>0</v>
      </c>
      <c r="AQ78" s="74"/>
      <c r="AR78" s="72">
        <f t="shared" si="57"/>
        <v>54.050000000000004</v>
      </c>
      <c r="AS78" s="72">
        <f t="shared" si="58"/>
        <v>57.7</v>
      </c>
      <c r="AT78" s="301"/>
      <c r="AU78" s="72">
        <f t="shared" si="48"/>
        <v>0</v>
      </c>
      <c r="AV78" s="72">
        <f t="shared" si="49"/>
        <v>0</v>
      </c>
      <c r="AW78" s="66"/>
      <c r="AX78" s="72">
        <f t="shared" si="59"/>
        <v>50</v>
      </c>
      <c r="AY78" s="72">
        <f t="shared" si="60"/>
        <v>72.099999999999994</v>
      </c>
      <c r="AZ78" s="301"/>
      <c r="BA78" s="72">
        <f t="shared" si="39"/>
        <v>0</v>
      </c>
      <c r="BB78" s="72">
        <f t="shared" si="40"/>
        <v>0</v>
      </c>
      <c r="BC78" s="74"/>
      <c r="BD78" s="72">
        <f t="shared" si="61"/>
        <v>70.95</v>
      </c>
      <c r="BE78" s="72">
        <f t="shared" si="62"/>
        <v>43.274999999999999</v>
      </c>
      <c r="BF78" s="301"/>
      <c r="BG78" s="44"/>
      <c r="BH78" s="44"/>
      <c r="BI78" s="44"/>
      <c r="BJ78" s="44"/>
      <c r="BK78" s="44"/>
      <c r="BM78" s="44"/>
      <c r="BN78" s="44"/>
      <c r="BO78" s="44"/>
      <c r="BP78" s="44"/>
      <c r="BQ78" s="44"/>
      <c r="BS78" s="44"/>
      <c r="BT78" s="44"/>
      <c r="BU78" s="44"/>
      <c r="BV78" s="44"/>
      <c r="BW78" s="44"/>
      <c r="BY78" s="44"/>
      <c r="BZ78" s="44"/>
      <c r="CA78" s="44"/>
      <c r="CB78" s="44"/>
      <c r="CC78" s="44"/>
      <c r="CE78" s="44"/>
      <c r="CF78" s="44"/>
      <c r="CG78" s="44"/>
      <c r="CH78" s="44"/>
      <c r="CI78" s="44"/>
      <c r="CK78" s="44"/>
      <c r="CL78" s="44"/>
      <c r="CM78" s="44"/>
      <c r="CN78" s="44"/>
      <c r="CO78" s="44"/>
    </row>
    <row r="79" spans="1:93" x14ac:dyDescent="0.25">
      <c r="A79" s="35" t="s">
        <v>45</v>
      </c>
      <c r="B79" s="35" t="s">
        <v>145</v>
      </c>
      <c r="C79" s="35" t="s">
        <v>47</v>
      </c>
      <c r="D79" s="35" t="s">
        <v>85</v>
      </c>
      <c r="E79" s="35" t="s">
        <v>48</v>
      </c>
      <c r="F79" s="17" t="str">
        <f t="shared" si="28"/>
        <v>02-5076-01-03-00</v>
      </c>
      <c r="G79" s="36" t="s">
        <v>146</v>
      </c>
      <c r="H79" s="19">
        <f t="shared" si="63"/>
        <v>0</v>
      </c>
      <c r="I79" s="19">
        <f t="shared" si="63"/>
        <v>0</v>
      </c>
      <c r="J79" s="19">
        <f t="shared" si="63"/>
        <v>0</v>
      </c>
      <c r="K79" s="19">
        <f t="shared" si="63"/>
        <v>0</v>
      </c>
      <c r="L79" s="20">
        <v>0</v>
      </c>
      <c r="M79" s="20">
        <v>19000</v>
      </c>
      <c r="N79" s="206" t="s">
        <v>705</v>
      </c>
      <c r="P79" s="195">
        <f>INDEX('Apportionment Bases'!M$6:M$33,MATCH('PC2'!$N79,'Apportionment Bases'!$A$6:$A$33,0))</f>
        <v>0</v>
      </c>
      <c r="Q79" s="195">
        <f>INDEX('Apportionment Bases'!N$6:N$33,MATCH('PC2'!$N79,'Apportionment Bases'!$A$6:$A$33,0))</f>
        <v>0</v>
      </c>
      <c r="R79" s="199"/>
      <c r="S79" s="195">
        <f>INDEX('Apportionment Bases'!$P$6:$P$33,MATCH('PC2'!N79,'Apportionment Bases'!$A$6:$A$33,0))</f>
        <v>0.5</v>
      </c>
      <c r="T79" s="195">
        <f>INDEX('Apportionment Bases'!Q$6:Q$33,MATCH('PC2'!$N79,'Apportionment Bases'!$A$6:$A$33,0))</f>
        <v>0.5</v>
      </c>
      <c r="V79" s="72">
        <f t="shared" si="43"/>
        <v>0</v>
      </c>
      <c r="W79" s="72">
        <f t="shared" si="44"/>
        <v>0</v>
      </c>
      <c r="X79" s="66"/>
      <c r="Y79" s="72">
        <f t="shared" si="52"/>
        <v>0</v>
      </c>
      <c r="Z79" s="72">
        <f t="shared" si="53"/>
        <v>0</v>
      </c>
      <c r="AA79" s="48" t="str">
        <f t="shared" si="54"/>
        <v>TRUE</v>
      </c>
      <c r="AH79" s="300"/>
      <c r="AI79" s="72">
        <f t="shared" si="45"/>
        <v>0</v>
      </c>
      <c r="AJ79" s="72">
        <f t="shared" si="50"/>
        <v>0</v>
      </c>
      <c r="AK79" s="74"/>
      <c r="AL79" s="72">
        <f t="shared" si="55"/>
        <v>0</v>
      </c>
      <c r="AM79" s="72">
        <f t="shared" si="56"/>
        <v>0</v>
      </c>
      <c r="AN79" s="301"/>
      <c r="AO79" s="72">
        <f t="shared" si="46"/>
        <v>0</v>
      </c>
      <c r="AP79" s="72">
        <f t="shared" si="47"/>
        <v>0</v>
      </c>
      <c r="AQ79" s="74"/>
      <c r="AR79" s="72">
        <f t="shared" si="57"/>
        <v>0</v>
      </c>
      <c r="AS79" s="72">
        <f t="shared" si="58"/>
        <v>0</v>
      </c>
      <c r="AT79" s="301"/>
      <c r="AU79" s="72">
        <f t="shared" si="48"/>
        <v>0</v>
      </c>
      <c r="AV79" s="72">
        <f t="shared" si="49"/>
        <v>0</v>
      </c>
      <c r="AW79" s="66"/>
      <c r="AX79" s="72">
        <f t="shared" si="59"/>
        <v>0</v>
      </c>
      <c r="AY79" s="72">
        <f t="shared" si="60"/>
        <v>0</v>
      </c>
      <c r="AZ79" s="301"/>
      <c r="BA79" s="72">
        <f t="shared" si="39"/>
        <v>0</v>
      </c>
      <c r="BB79" s="72">
        <f t="shared" si="40"/>
        <v>0</v>
      </c>
      <c r="BC79" s="74"/>
      <c r="BD79" s="72">
        <f t="shared" si="61"/>
        <v>0</v>
      </c>
      <c r="BE79" s="72">
        <f t="shared" si="62"/>
        <v>0</v>
      </c>
      <c r="BF79" s="301"/>
      <c r="BG79" s="44"/>
      <c r="BH79" s="44"/>
      <c r="BI79" s="44"/>
      <c r="BJ79" s="44"/>
      <c r="BK79" s="44"/>
      <c r="BM79" s="44"/>
      <c r="BN79" s="44"/>
      <c r="BO79" s="44"/>
      <c r="BP79" s="44"/>
      <c r="BQ79" s="44"/>
      <c r="BS79" s="44"/>
      <c r="BT79" s="44"/>
      <c r="BU79" s="44"/>
      <c r="BV79" s="44"/>
      <c r="BW79" s="44"/>
      <c r="BY79" s="44"/>
      <c r="BZ79" s="44"/>
      <c r="CA79" s="44"/>
      <c r="CB79" s="44"/>
      <c r="CC79" s="44"/>
      <c r="CE79" s="44"/>
      <c r="CF79" s="44"/>
      <c r="CG79" s="44"/>
      <c r="CH79" s="44"/>
      <c r="CI79" s="44"/>
      <c r="CK79" s="44"/>
      <c r="CL79" s="44"/>
      <c r="CM79" s="44"/>
      <c r="CN79" s="44"/>
      <c r="CO79" s="44"/>
    </row>
    <row r="80" spans="1:93" x14ac:dyDescent="0.25">
      <c r="A80" s="35" t="s">
        <v>45</v>
      </c>
      <c r="B80" s="35" t="s">
        <v>147</v>
      </c>
      <c r="C80" s="35" t="s">
        <v>47</v>
      </c>
      <c r="D80" s="35" t="s">
        <v>85</v>
      </c>
      <c r="E80" s="35" t="s">
        <v>48</v>
      </c>
      <c r="F80" s="17" t="str">
        <f t="shared" si="28"/>
        <v>02-5077-01-03-00</v>
      </c>
      <c r="G80" s="36" t="s">
        <v>148</v>
      </c>
      <c r="H80" s="31">
        <f t="shared" si="63"/>
        <v>0</v>
      </c>
      <c r="I80" s="31">
        <f t="shared" si="63"/>
        <v>0</v>
      </c>
      <c r="J80" s="31">
        <f t="shared" si="63"/>
        <v>0</v>
      </c>
      <c r="K80" s="31">
        <f t="shared" si="63"/>
        <v>0</v>
      </c>
      <c r="L80" s="20">
        <v>0</v>
      </c>
      <c r="M80" s="20">
        <v>0</v>
      </c>
      <c r="N80" s="206" t="s">
        <v>705</v>
      </c>
      <c r="P80" s="195">
        <f>INDEX('Apportionment Bases'!M$6:M$33,MATCH('PC2'!$N80,'Apportionment Bases'!$A$6:$A$33,0))</f>
        <v>0</v>
      </c>
      <c r="Q80" s="195">
        <f>INDEX('Apportionment Bases'!N$6:N$33,MATCH('PC2'!$N80,'Apportionment Bases'!$A$6:$A$33,0))</f>
        <v>0</v>
      </c>
      <c r="R80" s="199"/>
      <c r="S80" s="195">
        <f>INDEX('Apportionment Bases'!$P$6:$P$33,MATCH('PC2'!N80,'Apportionment Bases'!$A$6:$A$33,0))</f>
        <v>0.5</v>
      </c>
      <c r="T80" s="195">
        <f>INDEX('Apportionment Bases'!Q$6:Q$33,MATCH('PC2'!$N80,'Apportionment Bases'!$A$6:$A$33,0))</f>
        <v>0.5</v>
      </c>
      <c r="V80" s="72">
        <f t="shared" si="43"/>
        <v>0</v>
      </c>
      <c r="W80" s="72">
        <f t="shared" si="44"/>
        <v>0</v>
      </c>
      <c r="X80" s="66"/>
      <c r="Y80" s="72">
        <f t="shared" si="52"/>
        <v>0</v>
      </c>
      <c r="Z80" s="72">
        <f t="shared" si="53"/>
        <v>0</v>
      </c>
      <c r="AA80" s="48" t="str">
        <f t="shared" si="54"/>
        <v>TRUE</v>
      </c>
      <c r="AH80" s="300"/>
      <c r="AI80" s="72">
        <f t="shared" si="45"/>
        <v>0</v>
      </c>
      <c r="AJ80" s="72">
        <f t="shared" si="50"/>
        <v>0</v>
      </c>
      <c r="AK80" s="74"/>
      <c r="AL80" s="72">
        <f t="shared" si="55"/>
        <v>0</v>
      </c>
      <c r="AM80" s="72">
        <f t="shared" si="56"/>
        <v>0</v>
      </c>
      <c r="AN80" s="301"/>
      <c r="AO80" s="72">
        <f t="shared" si="46"/>
        <v>0</v>
      </c>
      <c r="AP80" s="72">
        <f t="shared" si="47"/>
        <v>0</v>
      </c>
      <c r="AQ80" s="74"/>
      <c r="AR80" s="72">
        <f t="shared" si="57"/>
        <v>0</v>
      </c>
      <c r="AS80" s="72">
        <f t="shared" si="58"/>
        <v>0</v>
      </c>
      <c r="AT80" s="301"/>
      <c r="AU80" s="72">
        <f t="shared" si="48"/>
        <v>0</v>
      </c>
      <c r="AV80" s="72">
        <f t="shared" si="49"/>
        <v>0</v>
      </c>
      <c r="AW80" s="66"/>
      <c r="AX80" s="72">
        <f t="shared" si="59"/>
        <v>0</v>
      </c>
      <c r="AY80" s="72">
        <f t="shared" si="60"/>
        <v>0</v>
      </c>
      <c r="AZ80" s="301"/>
      <c r="BA80" s="72">
        <f t="shared" si="39"/>
        <v>0</v>
      </c>
      <c r="BB80" s="72">
        <f t="shared" si="40"/>
        <v>0</v>
      </c>
      <c r="BC80" s="74"/>
      <c r="BD80" s="72">
        <f t="shared" si="61"/>
        <v>0</v>
      </c>
      <c r="BE80" s="72">
        <f t="shared" si="62"/>
        <v>0</v>
      </c>
      <c r="BF80" s="301"/>
      <c r="BG80" s="44"/>
      <c r="BH80" s="44"/>
      <c r="BI80" s="44"/>
      <c r="BJ80" s="44"/>
      <c r="BK80" s="44"/>
      <c r="BM80" s="44"/>
      <c r="BN80" s="44"/>
      <c r="BO80" s="44"/>
      <c r="BP80" s="44"/>
      <c r="BQ80" s="44"/>
      <c r="BS80" s="44"/>
      <c r="BT80" s="44"/>
      <c r="BU80" s="44"/>
      <c r="BV80" s="44"/>
      <c r="BW80" s="44"/>
      <c r="BY80" s="44"/>
      <c r="BZ80" s="44"/>
      <c r="CA80" s="44"/>
      <c r="CB80" s="44"/>
      <c r="CC80" s="44"/>
      <c r="CE80" s="44"/>
      <c r="CF80" s="44"/>
      <c r="CG80" s="44"/>
      <c r="CH80" s="44"/>
      <c r="CI80" s="44"/>
      <c r="CK80" s="44"/>
      <c r="CL80" s="44"/>
      <c r="CM80" s="44"/>
      <c r="CN80" s="44"/>
      <c r="CO80" s="44"/>
    </row>
    <row r="81" spans="1:93" x14ac:dyDescent="0.25">
      <c r="A81" s="35" t="s">
        <v>45</v>
      </c>
      <c r="B81" s="35" t="s">
        <v>149</v>
      </c>
      <c r="C81" s="35" t="s">
        <v>47</v>
      </c>
      <c r="D81" s="35" t="s">
        <v>48</v>
      </c>
      <c r="E81" s="35" t="s">
        <v>48</v>
      </c>
      <c r="F81" s="17" t="str">
        <f t="shared" si="28"/>
        <v>02-5114-01-00-00</v>
      </c>
      <c r="G81" s="36" t="s">
        <v>150</v>
      </c>
      <c r="H81" s="31">
        <f t="shared" si="63"/>
        <v>0</v>
      </c>
      <c r="I81" s="31">
        <f t="shared" si="63"/>
        <v>0</v>
      </c>
      <c r="J81" s="31">
        <f t="shared" si="63"/>
        <v>0</v>
      </c>
      <c r="K81" s="31">
        <f t="shared" si="63"/>
        <v>0</v>
      </c>
      <c r="L81" s="20">
        <v>0</v>
      </c>
      <c r="M81" s="25">
        <v>0</v>
      </c>
      <c r="N81" s="206" t="s">
        <v>705</v>
      </c>
      <c r="P81" s="195">
        <f>INDEX('Apportionment Bases'!M$6:M$33,MATCH('PC2'!$N81,'Apportionment Bases'!$A$6:$A$33,0))</f>
        <v>0</v>
      </c>
      <c r="Q81" s="195">
        <f>INDEX('Apportionment Bases'!N$6:N$33,MATCH('PC2'!$N81,'Apportionment Bases'!$A$6:$A$33,0))</f>
        <v>0</v>
      </c>
      <c r="R81" s="199"/>
      <c r="S81" s="195">
        <f>INDEX('Apportionment Bases'!$P$6:$P$33,MATCH('PC2'!N81,'Apportionment Bases'!$A$6:$A$33,0))</f>
        <v>0.5</v>
      </c>
      <c r="T81" s="195">
        <f>INDEX('Apportionment Bases'!Q$6:Q$33,MATCH('PC2'!$N81,'Apportionment Bases'!$A$6:$A$33,0))</f>
        <v>0.5</v>
      </c>
      <c r="U81" s="56"/>
      <c r="V81" s="72">
        <f t="shared" si="43"/>
        <v>0</v>
      </c>
      <c r="W81" s="72">
        <f t="shared" si="44"/>
        <v>0</v>
      </c>
      <c r="X81" s="66"/>
      <c r="Y81" s="72">
        <f t="shared" si="52"/>
        <v>0</v>
      </c>
      <c r="Z81" s="72">
        <f t="shared" si="53"/>
        <v>0</v>
      </c>
      <c r="AA81" s="48" t="str">
        <f t="shared" si="54"/>
        <v>TRUE</v>
      </c>
      <c r="AB81" s="46"/>
      <c r="AD81" s="46"/>
      <c r="AE81" s="46"/>
      <c r="AF81" s="46"/>
      <c r="AG81" s="58"/>
      <c r="AH81" s="314"/>
      <c r="AI81" s="72">
        <f t="shared" si="45"/>
        <v>0</v>
      </c>
      <c r="AJ81" s="72">
        <f t="shared" si="50"/>
        <v>0</v>
      </c>
      <c r="AK81" s="74"/>
      <c r="AL81" s="72">
        <f t="shared" si="55"/>
        <v>0</v>
      </c>
      <c r="AM81" s="72">
        <f t="shared" si="56"/>
        <v>0</v>
      </c>
      <c r="AN81" s="319"/>
      <c r="AO81" s="72">
        <f t="shared" si="46"/>
        <v>0</v>
      </c>
      <c r="AP81" s="72">
        <f t="shared" si="47"/>
        <v>0</v>
      </c>
      <c r="AQ81" s="74"/>
      <c r="AR81" s="72">
        <f t="shared" si="57"/>
        <v>0</v>
      </c>
      <c r="AS81" s="72">
        <f t="shared" si="58"/>
        <v>0</v>
      </c>
      <c r="AT81" s="319"/>
      <c r="AU81" s="72">
        <f t="shared" si="48"/>
        <v>0</v>
      </c>
      <c r="AV81" s="72">
        <f t="shared" si="49"/>
        <v>0</v>
      </c>
      <c r="AW81" s="66"/>
      <c r="AX81" s="72">
        <f t="shared" si="59"/>
        <v>0</v>
      </c>
      <c r="AY81" s="72">
        <f t="shared" si="60"/>
        <v>0</v>
      </c>
      <c r="AZ81" s="319"/>
      <c r="BA81" s="72">
        <f t="shared" si="39"/>
        <v>0</v>
      </c>
      <c r="BB81" s="72">
        <f t="shared" si="40"/>
        <v>0</v>
      </c>
      <c r="BC81" s="74"/>
      <c r="BD81" s="72">
        <f t="shared" si="61"/>
        <v>0</v>
      </c>
      <c r="BE81" s="72">
        <f t="shared" si="62"/>
        <v>0</v>
      </c>
      <c r="BF81" s="319"/>
      <c r="BG81" s="44"/>
      <c r="BH81" s="44"/>
      <c r="BI81" s="44"/>
      <c r="BJ81" s="44"/>
      <c r="BK81" s="44"/>
      <c r="BL81" s="46"/>
      <c r="BM81" s="44"/>
      <c r="BN81" s="44"/>
      <c r="BO81" s="44"/>
      <c r="BP81" s="44"/>
      <c r="BQ81" s="44"/>
      <c r="BR81" s="46"/>
      <c r="BS81" s="44"/>
      <c r="BT81" s="44"/>
      <c r="BU81" s="44"/>
      <c r="BV81" s="44"/>
      <c r="BW81" s="44"/>
      <c r="BX81" s="46"/>
      <c r="BY81" s="44"/>
      <c r="BZ81" s="44"/>
      <c r="CA81" s="44"/>
      <c r="CB81" s="44"/>
      <c r="CC81" s="44"/>
      <c r="CD81" s="46"/>
      <c r="CE81" s="44"/>
      <c r="CF81" s="44"/>
      <c r="CG81" s="44"/>
      <c r="CH81" s="44"/>
      <c r="CI81" s="44"/>
      <c r="CJ81" s="46"/>
      <c r="CK81" s="44"/>
      <c r="CL81" s="44"/>
      <c r="CM81" s="44"/>
      <c r="CN81" s="44"/>
      <c r="CO81" s="44"/>
    </row>
    <row r="82" spans="1:93" x14ac:dyDescent="0.25">
      <c r="A82" s="35" t="s">
        <v>45</v>
      </c>
      <c r="B82" s="35" t="s">
        <v>149</v>
      </c>
      <c r="C82" s="35" t="s">
        <v>45</v>
      </c>
      <c r="D82" s="35" t="s">
        <v>47</v>
      </c>
      <c r="E82" s="35" t="s">
        <v>48</v>
      </c>
      <c r="F82" s="17" t="str">
        <f t="shared" si="28"/>
        <v>02-5114-02-01-00</v>
      </c>
      <c r="G82" s="36" t="s">
        <v>150</v>
      </c>
      <c r="H82" s="31">
        <f t="shared" si="63"/>
        <v>0</v>
      </c>
      <c r="I82" s="31">
        <f t="shared" si="63"/>
        <v>0</v>
      </c>
      <c r="J82" s="31">
        <f t="shared" si="63"/>
        <v>0</v>
      </c>
      <c r="K82" s="31">
        <f t="shared" si="63"/>
        <v>0</v>
      </c>
      <c r="L82" s="20">
        <v>0</v>
      </c>
      <c r="M82" s="25">
        <v>0</v>
      </c>
      <c r="N82" s="206" t="s">
        <v>705</v>
      </c>
      <c r="P82" s="195">
        <f>INDEX('Apportionment Bases'!M$6:M$33,MATCH('PC2'!$N82,'Apportionment Bases'!$A$6:$A$33,0))</f>
        <v>0</v>
      </c>
      <c r="Q82" s="195">
        <f>INDEX('Apportionment Bases'!N$6:N$33,MATCH('PC2'!$N82,'Apportionment Bases'!$A$6:$A$33,0))</f>
        <v>0</v>
      </c>
      <c r="R82" s="199"/>
      <c r="S82" s="195">
        <f>INDEX('Apportionment Bases'!$P$6:$P$33,MATCH('PC2'!N82,'Apportionment Bases'!$A$6:$A$33,0))</f>
        <v>0.5</v>
      </c>
      <c r="T82" s="195">
        <f>INDEX('Apportionment Bases'!Q$6:Q$33,MATCH('PC2'!$N82,'Apportionment Bases'!$A$6:$A$33,0))</f>
        <v>0.5</v>
      </c>
      <c r="U82" s="56"/>
      <c r="V82" s="72">
        <f t="shared" si="43"/>
        <v>0</v>
      </c>
      <c r="W82" s="72">
        <f t="shared" si="44"/>
        <v>0</v>
      </c>
      <c r="X82" s="66"/>
      <c r="Y82" s="72">
        <f t="shared" si="52"/>
        <v>0</v>
      </c>
      <c r="Z82" s="72">
        <f t="shared" si="53"/>
        <v>0</v>
      </c>
      <c r="AA82" s="48" t="str">
        <f t="shared" si="54"/>
        <v>TRUE</v>
      </c>
      <c r="AB82" s="46"/>
      <c r="AD82" s="46"/>
      <c r="AE82" s="46"/>
      <c r="AF82" s="46"/>
      <c r="AG82" s="58"/>
      <c r="AH82" s="314"/>
      <c r="AI82" s="72">
        <f t="shared" si="45"/>
        <v>0</v>
      </c>
      <c r="AJ82" s="72">
        <f t="shared" si="50"/>
        <v>0</v>
      </c>
      <c r="AK82" s="74"/>
      <c r="AL82" s="72">
        <f t="shared" si="55"/>
        <v>0</v>
      </c>
      <c r="AM82" s="72">
        <f t="shared" si="56"/>
        <v>0</v>
      </c>
      <c r="AN82" s="319"/>
      <c r="AO82" s="72">
        <f t="shared" si="46"/>
        <v>0</v>
      </c>
      <c r="AP82" s="72">
        <f t="shared" si="47"/>
        <v>0</v>
      </c>
      <c r="AQ82" s="74"/>
      <c r="AR82" s="72">
        <f t="shared" si="57"/>
        <v>0</v>
      </c>
      <c r="AS82" s="72">
        <f t="shared" si="58"/>
        <v>0</v>
      </c>
      <c r="AT82" s="319"/>
      <c r="AU82" s="72">
        <f t="shared" si="48"/>
        <v>0</v>
      </c>
      <c r="AV82" s="72">
        <f t="shared" si="49"/>
        <v>0</v>
      </c>
      <c r="AW82" s="66"/>
      <c r="AX82" s="72">
        <f t="shared" si="59"/>
        <v>0</v>
      </c>
      <c r="AY82" s="72">
        <f t="shared" si="60"/>
        <v>0</v>
      </c>
      <c r="AZ82" s="319"/>
      <c r="BA82" s="72">
        <f t="shared" si="39"/>
        <v>0</v>
      </c>
      <c r="BB82" s="72">
        <f t="shared" si="40"/>
        <v>0</v>
      </c>
      <c r="BC82" s="74"/>
      <c r="BD82" s="72">
        <f t="shared" si="61"/>
        <v>0</v>
      </c>
      <c r="BE82" s="72">
        <f t="shared" si="62"/>
        <v>0</v>
      </c>
      <c r="BF82" s="319"/>
      <c r="BG82" s="44"/>
      <c r="BH82" s="44"/>
      <c r="BI82" s="44"/>
      <c r="BJ82" s="44"/>
      <c r="BK82" s="44"/>
      <c r="BL82" s="46"/>
      <c r="BM82" s="44"/>
      <c r="BN82" s="44"/>
      <c r="BO82" s="44"/>
      <c r="BP82" s="44"/>
      <c r="BQ82" s="44"/>
      <c r="BR82" s="46"/>
      <c r="BS82" s="44"/>
      <c r="BT82" s="44"/>
      <c r="BU82" s="44"/>
      <c r="BV82" s="44"/>
      <c r="BW82" s="44"/>
      <c r="BX82" s="46"/>
      <c r="BY82" s="44"/>
      <c r="BZ82" s="44"/>
      <c r="CA82" s="44"/>
      <c r="CB82" s="44"/>
      <c r="CC82" s="44"/>
      <c r="CD82" s="46"/>
      <c r="CE82" s="44"/>
      <c r="CF82" s="44"/>
      <c r="CG82" s="44"/>
      <c r="CH82" s="44"/>
      <c r="CI82" s="44"/>
      <c r="CJ82" s="46"/>
      <c r="CK82" s="44"/>
      <c r="CL82" s="44"/>
      <c r="CM82" s="44"/>
      <c r="CN82" s="44"/>
      <c r="CO82" s="44"/>
    </row>
    <row r="83" spans="1:93" x14ac:dyDescent="0.25">
      <c r="A83" s="35" t="s">
        <v>45</v>
      </c>
      <c r="B83" s="35" t="s">
        <v>151</v>
      </c>
      <c r="C83" s="35" t="s">
        <v>47</v>
      </c>
      <c r="D83" s="35" t="s">
        <v>47</v>
      </c>
      <c r="E83" s="35" t="s">
        <v>48</v>
      </c>
      <c r="F83" s="17" t="str">
        <f t="shared" si="28"/>
        <v>02-5301-01-01-00</v>
      </c>
      <c r="G83" s="36" t="s">
        <v>27</v>
      </c>
      <c r="H83" s="31">
        <f t="shared" ref="H83:K92" si="64">($L83/4)</f>
        <v>0</v>
      </c>
      <c r="I83" s="31">
        <f t="shared" si="64"/>
        <v>0</v>
      </c>
      <c r="J83" s="31">
        <f t="shared" si="64"/>
        <v>0</v>
      </c>
      <c r="K83" s="31">
        <f t="shared" si="64"/>
        <v>0</v>
      </c>
      <c r="L83" s="20">
        <v>0</v>
      </c>
      <c r="M83" s="20">
        <v>0</v>
      </c>
      <c r="N83" s="206" t="s">
        <v>479</v>
      </c>
      <c r="P83" s="195">
        <f>INDEX('Apportionment Bases'!M$6:M$33,MATCH('PC2'!$N83,'Apportionment Bases'!$A$6:$A$33,0))</f>
        <v>0.42199999999999999</v>
      </c>
      <c r="Q83" s="195">
        <f>INDEX('Apportionment Bases'!N$6:N$33,MATCH('PC2'!$N83,'Apportionment Bases'!$A$6:$A$33,0))</f>
        <v>0.48399999999999999</v>
      </c>
      <c r="R83" s="199"/>
      <c r="S83" s="195">
        <f>INDEX('Apportionment Bases'!$P$6:$P$33,MATCH('PC2'!N83,'Apportionment Bases'!$A$6:$A$33,0))</f>
        <v>4.7E-2</v>
      </c>
      <c r="T83" s="195">
        <f>INDEX('Apportionment Bases'!Q$6:Q$33,MATCH('PC2'!$N83,'Apportionment Bases'!$A$6:$A$33,0))</f>
        <v>4.7E-2</v>
      </c>
      <c r="V83" s="72">
        <f t="shared" si="43"/>
        <v>0</v>
      </c>
      <c r="W83" s="72">
        <f t="shared" si="44"/>
        <v>0</v>
      </c>
      <c r="X83" s="66"/>
      <c r="Y83" s="72">
        <f t="shared" si="52"/>
        <v>0</v>
      </c>
      <c r="Z83" s="72">
        <f t="shared" si="53"/>
        <v>0</v>
      </c>
      <c r="AA83" s="48" t="str">
        <f t="shared" si="54"/>
        <v>TRUE</v>
      </c>
      <c r="AH83" s="300"/>
      <c r="AI83" s="72">
        <f t="shared" si="45"/>
        <v>0</v>
      </c>
      <c r="AJ83" s="72">
        <f t="shared" si="50"/>
        <v>0</v>
      </c>
      <c r="AK83" s="74"/>
      <c r="AL83" s="72">
        <f t="shared" si="55"/>
        <v>0</v>
      </c>
      <c r="AM83" s="72">
        <f t="shared" si="56"/>
        <v>0</v>
      </c>
      <c r="AN83" s="301"/>
      <c r="AO83" s="72">
        <f t="shared" si="46"/>
        <v>0</v>
      </c>
      <c r="AP83" s="72">
        <f t="shared" si="47"/>
        <v>0</v>
      </c>
      <c r="AQ83" s="74"/>
      <c r="AR83" s="72">
        <f t="shared" si="57"/>
        <v>0</v>
      </c>
      <c r="AS83" s="72">
        <f t="shared" si="58"/>
        <v>0</v>
      </c>
      <c r="AT83" s="301"/>
      <c r="AU83" s="72">
        <f t="shared" si="48"/>
        <v>0</v>
      </c>
      <c r="AV83" s="72">
        <f t="shared" si="49"/>
        <v>0</v>
      </c>
      <c r="AW83" s="66"/>
      <c r="AX83" s="72">
        <f t="shared" si="59"/>
        <v>0</v>
      </c>
      <c r="AY83" s="72">
        <f t="shared" si="60"/>
        <v>0</v>
      </c>
      <c r="AZ83" s="301"/>
      <c r="BA83" s="72">
        <f t="shared" si="39"/>
        <v>0</v>
      </c>
      <c r="BB83" s="72">
        <f t="shared" si="40"/>
        <v>0</v>
      </c>
      <c r="BC83" s="74"/>
      <c r="BD83" s="72">
        <f t="shared" si="61"/>
        <v>0</v>
      </c>
      <c r="BE83" s="72">
        <f t="shared" si="62"/>
        <v>0</v>
      </c>
      <c r="BF83" s="301"/>
      <c r="BG83" s="44"/>
      <c r="BH83" s="44"/>
      <c r="BI83" s="44"/>
      <c r="BJ83" s="44"/>
      <c r="BK83" s="44"/>
      <c r="BM83" s="44"/>
      <c r="BN83" s="44"/>
      <c r="BO83" s="44"/>
      <c r="BP83" s="44"/>
      <c r="BQ83" s="44"/>
      <c r="BS83" s="44"/>
      <c r="BT83" s="44"/>
      <c r="BU83" s="44"/>
      <c r="BV83" s="44"/>
      <c r="BW83" s="44"/>
      <c r="BY83" s="44"/>
      <c r="BZ83" s="44"/>
      <c r="CA83" s="44"/>
      <c r="CB83" s="44"/>
      <c r="CC83" s="44"/>
      <c r="CE83" s="44"/>
      <c r="CF83" s="44"/>
      <c r="CG83" s="44"/>
      <c r="CH83" s="44"/>
      <c r="CI83" s="44"/>
      <c r="CK83" s="44"/>
      <c r="CL83" s="44"/>
      <c r="CM83" s="44"/>
      <c r="CN83" s="44"/>
      <c r="CO83" s="44"/>
    </row>
    <row r="84" spans="1:93" x14ac:dyDescent="0.25">
      <c r="A84" s="35" t="s">
        <v>45</v>
      </c>
      <c r="B84" s="35" t="s">
        <v>152</v>
      </c>
      <c r="C84" s="35" t="s">
        <v>47</v>
      </c>
      <c r="D84" s="35" t="s">
        <v>47</v>
      </c>
      <c r="E84" s="35" t="s">
        <v>48</v>
      </c>
      <c r="F84" s="17" t="str">
        <f t="shared" si="28"/>
        <v>02-5303-01-01-00</v>
      </c>
      <c r="G84" s="36" t="s">
        <v>28</v>
      </c>
      <c r="H84" s="31">
        <f t="shared" si="64"/>
        <v>900</v>
      </c>
      <c r="I84" s="31">
        <f t="shared" si="64"/>
        <v>900</v>
      </c>
      <c r="J84" s="31">
        <f t="shared" si="64"/>
        <v>900</v>
      </c>
      <c r="K84" s="31">
        <f t="shared" si="64"/>
        <v>900</v>
      </c>
      <c r="L84" s="20">
        <v>3600</v>
      </c>
      <c r="M84" s="20">
        <v>3600</v>
      </c>
      <c r="N84" s="206" t="s">
        <v>479</v>
      </c>
      <c r="P84" s="195">
        <f>INDEX('Apportionment Bases'!M$6:M$33,MATCH('PC2'!$N84,'Apportionment Bases'!$A$6:$A$33,0))</f>
        <v>0.42199999999999999</v>
      </c>
      <c r="Q84" s="195">
        <f>INDEX('Apportionment Bases'!N$6:N$33,MATCH('PC2'!$N84,'Apportionment Bases'!$A$6:$A$33,0))</f>
        <v>0.48399999999999999</v>
      </c>
      <c r="R84" s="199"/>
      <c r="S84" s="195">
        <f>INDEX('Apportionment Bases'!$P$6:$P$33,MATCH('PC2'!N84,'Apportionment Bases'!$A$6:$A$33,0))</f>
        <v>4.7E-2</v>
      </c>
      <c r="T84" s="195">
        <f>INDEX('Apportionment Bases'!Q$6:Q$33,MATCH('PC2'!$N84,'Apportionment Bases'!$A$6:$A$33,0))</f>
        <v>4.7E-2</v>
      </c>
      <c r="V84" s="72">
        <f t="shared" si="43"/>
        <v>1519.2</v>
      </c>
      <c r="W84" s="72">
        <f t="shared" si="44"/>
        <v>1742.3999999999999</v>
      </c>
      <c r="X84" s="66"/>
      <c r="Y84" s="72">
        <f t="shared" si="52"/>
        <v>169.2</v>
      </c>
      <c r="Z84" s="72">
        <f t="shared" si="53"/>
        <v>169.2</v>
      </c>
      <c r="AA84" s="48" t="str">
        <f t="shared" si="54"/>
        <v>TRUE</v>
      </c>
      <c r="AH84" s="300"/>
      <c r="AI84" s="72">
        <f t="shared" si="45"/>
        <v>361.87344000000002</v>
      </c>
      <c r="AJ84" s="72">
        <f t="shared" si="50"/>
        <v>479.16</v>
      </c>
      <c r="AK84" s="74"/>
      <c r="AL84" s="72">
        <f t="shared" si="55"/>
        <v>50.76</v>
      </c>
      <c r="AM84" s="72">
        <f t="shared" si="56"/>
        <v>52.062839999999994</v>
      </c>
      <c r="AN84" s="301"/>
      <c r="AO84" s="72">
        <f t="shared" si="46"/>
        <v>231.52608000000001</v>
      </c>
      <c r="AP84" s="72">
        <f t="shared" si="47"/>
        <v>339.59375999999997</v>
      </c>
      <c r="AQ84" s="74"/>
      <c r="AR84" s="72">
        <f t="shared" si="57"/>
        <v>36.581040000000002</v>
      </c>
      <c r="AS84" s="72">
        <f t="shared" si="58"/>
        <v>39.051359999999995</v>
      </c>
      <c r="AT84" s="301"/>
      <c r="AU84" s="72">
        <f t="shared" si="48"/>
        <v>330.12216000000001</v>
      </c>
      <c r="AV84" s="72">
        <f t="shared" si="49"/>
        <v>416.60783999999995</v>
      </c>
      <c r="AW84" s="66"/>
      <c r="AX84" s="72">
        <f t="shared" si="59"/>
        <v>33.839999999999996</v>
      </c>
      <c r="AY84" s="72">
        <f t="shared" si="60"/>
        <v>48.797279999999994</v>
      </c>
      <c r="AZ84" s="301"/>
      <c r="BA84" s="72">
        <f t="shared" si="39"/>
        <v>595.67831999999999</v>
      </c>
      <c r="BB84" s="72">
        <f t="shared" si="40"/>
        <v>507.03839999999991</v>
      </c>
      <c r="BC84" s="74"/>
      <c r="BD84" s="72">
        <f t="shared" si="61"/>
        <v>48.018959999999993</v>
      </c>
      <c r="BE84" s="72">
        <f t="shared" si="62"/>
        <v>29.288519999999998</v>
      </c>
      <c r="BF84" s="301"/>
      <c r="BG84" s="44"/>
      <c r="BH84" s="44"/>
      <c r="BI84" s="44"/>
      <c r="BJ84" s="44"/>
      <c r="BK84" s="44"/>
      <c r="BM84" s="44"/>
      <c r="BN84" s="44"/>
      <c r="BO84" s="44"/>
      <c r="BP84" s="44"/>
      <c r="BQ84" s="44"/>
      <c r="BS84" s="44"/>
      <c r="BT84" s="44"/>
      <c r="BU84" s="44"/>
      <c r="BV84" s="44"/>
      <c r="BW84" s="44"/>
      <c r="BY84" s="44"/>
      <c r="BZ84" s="44"/>
      <c r="CA84" s="44"/>
      <c r="CB84" s="44"/>
      <c r="CC84" s="44"/>
      <c r="CE84" s="44"/>
      <c r="CF84" s="44"/>
      <c r="CG84" s="44"/>
      <c r="CH84" s="44"/>
      <c r="CI84" s="44"/>
      <c r="CK84" s="44"/>
      <c r="CL84" s="44"/>
      <c r="CM84" s="44"/>
      <c r="CN84" s="44"/>
      <c r="CO84" s="44"/>
    </row>
    <row r="85" spans="1:93" x14ac:dyDescent="0.25">
      <c r="A85" s="35" t="s">
        <v>45</v>
      </c>
      <c r="B85" s="35" t="s">
        <v>152</v>
      </c>
      <c r="C85" s="35" t="s">
        <v>45</v>
      </c>
      <c r="D85" s="35" t="s">
        <v>48</v>
      </c>
      <c r="E85" s="35" t="s">
        <v>48</v>
      </c>
      <c r="F85" s="17" t="str">
        <f t="shared" si="28"/>
        <v>02-5303-02-00-00</v>
      </c>
      <c r="G85" s="36" t="s">
        <v>28</v>
      </c>
      <c r="H85" s="31">
        <f t="shared" si="64"/>
        <v>0</v>
      </c>
      <c r="I85" s="31">
        <f t="shared" si="64"/>
        <v>0</v>
      </c>
      <c r="J85" s="31">
        <f t="shared" si="64"/>
        <v>0</v>
      </c>
      <c r="K85" s="31">
        <f t="shared" si="64"/>
        <v>0</v>
      </c>
      <c r="L85" s="20">
        <v>0</v>
      </c>
      <c r="M85" s="20">
        <v>0</v>
      </c>
      <c r="N85" s="206" t="s">
        <v>480</v>
      </c>
      <c r="P85" s="195">
        <f>INDEX('Apportionment Bases'!M$6:M$33,MATCH('PC2'!$N85,'Apportionment Bases'!$A$6:$A$33,0))</f>
        <v>0.14799999999999999</v>
      </c>
      <c r="Q85" s="195">
        <f>INDEX('Apportionment Bases'!N$6:N$33,MATCH('PC2'!$N85,'Apportionment Bases'!$A$6:$A$33,0))</f>
        <v>0.55000000000000004</v>
      </c>
      <c r="R85" s="199"/>
      <c r="S85" s="195">
        <f>INDEX('Apportionment Bases'!$P$6:$P$33,MATCH('PC2'!N85,'Apportionment Bases'!$A$6:$A$33,0))</f>
        <v>0.151</v>
      </c>
      <c r="T85" s="195">
        <f>INDEX('Apportionment Bases'!Q$6:Q$33,MATCH('PC2'!$N85,'Apportionment Bases'!$A$6:$A$33,0))</f>
        <v>0.151</v>
      </c>
      <c r="V85" s="72">
        <f t="shared" si="43"/>
        <v>0</v>
      </c>
      <c r="W85" s="72">
        <f t="shared" si="44"/>
        <v>0</v>
      </c>
      <c r="X85" s="66"/>
      <c r="Y85" s="72">
        <f t="shared" si="52"/>
        <v>0</v>
      </c>
      <c r="Z85" s="72">
        <f t="shared" si="53"/>
        <v>0</v>
      </c>
      <c r="AA85" s="48" t="str">
        <f t="shared" si="54"/>
        <v>TRUE</v>
      </c>
      <c r="AH85" s="300"/>
      <c r="AI85" s="72">
        <f t="shared" si="45"/>
        <v>0</v>
      </c>
      <c r="AJ85" s="72">
        <f t="shared" si="50"/>
        <v>0</v>
      </c>
      <c r="AK85" s="74"/>
      <c r="AL85" s="72">
        <f t="shared" si="55"/>
        <v>0</v>
      </c>
      <c r="AM85" s="72">
        <f t="shared" si="56"/>
        <v>0</v>
      </c>
      <c r="AN85" s="301"/>
      <c r="AO85" s="72">
        <f t="shared" si="46"/>
        <v>0</v>
      </c>
      <c r="AP85" s="72">
        <f t="shared" si="47"/>
        <v>0</v>
      </c>
      <c r="AQ85" s="74"/>
      <c r="AR85" s="72">
        <f t="shared" si="57"/>
        <v>0</v>
      </c>
      <c r="AS85" s="72">
        <f t="shared" si="58"/>
        <v>0</v>
      </c>
      <c r="AT85" s="301"/>
      <c r="AU85" s="72">
        <f t="shared" si="48"/>
        <v>0</v>
      </c>
      <c r="AV85" s="72">
        <f t="shared" si="49"/>
        <v>0</v>
      </c>
      <c r="AW85" s="66"/>
      <c r="AX85" s="72">
        <f t="shared" si="59"/>
        <v>0</v>
      </c>
      <c r="AY85" s="72">
        <f t="shared" si="60"/>
        <v>0</v>
      </c>
      <c r="AZ85" s="301"/>
      <c r="BA85" s="72">
        <f t="shared" si="39"/>
        <v>0</v>
      </c>
      <c r="BB85" s="72">
        <f t="shared" si="40"/>
        <v>0</v>
      </c>
      <c r="BC85" s="74"/>
      <c r="BD85" s="72">
        <f t="shared" si="61"/>
        <v>0</v>
      </c>
      <c r="BE85" s="72">
        <f t="shared" si="62"/>
        <v>0</v>
      </c>
      <c r="BF85" s="301"/>
      <c r="BG85" s="44"/>
      <c r="BH85" s="44"/>
      <c r="BI85" s="44"/>
      <c r="BJ85" s="44"/>
      <c r="BK85" s="44"/>
      <c r="BM85" s="44"/>
      <c r="BN85" s="44"/>
      <c r="BO85" s="44"/>
      <c r="BP85" s="44"/>
      <c r="BQ85" s="44"/>
      <c r="BS85" s="44"/>
      <c r="BT85" s="44"/>
      <c r="BU85" s="44"/>
      <c r="BV85" s="44"/>
      <c r="BW85" s="44"/>
      <c r="BY85" s="44"/>
      <c r="BZ85" s="44"/>
      <c r="CA85" s="44"/>
      <c r="CB85" s="44"/>
      <c r="CC85" s="44"/>
      <c r="CE85" s="44"/>
      <c r="CF85" s="44"/>
      <c r="CG85" s="44"/>
      <c r="CH85" s="44"/>
      <c r="CI85" s="44"/>
      <c r="CK85" s="44"/>
      <c r="CL85" s="44"/>
      <c r="CM85" s="44"/>
      <c r="CN85" s="44"/>
      <c r="CO85" s="44"/>
    </row>
    <row r="86" spans="1:93" x14ac:dyDescent="0.25">
      <c r="A86" s="35" t="s">
        <v>45</v>
      </c>
      <c r="B86" s="35" t="s">
        <v>153</v>
      </c>
      <c r="C86" s="35" t="s">
        <v>47</v>
      </c>
      <c r="D86" s="35" t="s">
        <v>48</v>
      </c>
      <c r="E86" s="35" t="s">
        <v>48</v>
      </c>
      <c r="F86" s="17" t="str">
        <f t="shared" si="28"/>
        <v>02-5305-01-00-00</v>
      </c>
      <c r="G86" s="36" t="s">
        <v>29</v>
      </c>
      <c r="H86" s="31">
        <f t="shared" si="64"/>
        <v>952.75</v>
      </c>
      <c r="I86" s="31">
        <f t="shared" si="64"/>
        <v>952.75</v>
      </c>
      <c r="J86" s="31">
        <f t="shared" si="64"/>
        <v>952.75</v>
      </c>
      <c r="K86" s="31">
        <f t="shared" si="64"/>
        <v>952.75</v>
      </c>
      <c r="L86" s="20">
        <v>3811</v>
      </c>
      <c r="M86" s="20">
        <v>3860</v>
      </c>
      <c r="N86" s="206" t="s">
        <v>479</v>
      </c>
      <c r="P86" s="195">
        <f>INDEX('Apportionment Bases'!M$6:M$33,MATCH('PC2'!$N86,'Apportionment Bases'!$A$6:$A$33,0))</f>
        <v>0.42199999999999999</v>
      </c>
      <c r="Q86" s="195">
        <f>INDEX('Apportionment Bases'!N$6:N$33,MATCH('PC2'!$N86,'Apportionment Bases'!$A$6:$A$33,0))</f>
        <v>0.48399999999999999</v>
      </c>
      <c r="R86" s="199"/>
      <c r="S86" s="195">
        <f>INDEX('Apportionment Bases'!$P$6:$P$33,MATCH('PC2'!N86,'Apportionment Bases'!$A$6:$A$33,0))</f>
        <v>4.7E-2</v>
      </c>
      <c r="T86" s="195">
        <f>INDEX('Apportionment Bases'!Q$6:Q$33,MATCH('PC2'!$N86,'Apportionment Bases'!$A$6:$A$33,0))</f>
        <v>4.7E-2</v>
      </c>
      <c r="V86" s="72">
        <f t="shared" si="43"/>
        <v>1608.242</v>
      </c>
      <c r="W86" s="72">
        <f t="shared" si="44"/>
        <v>1844.5239999999999</v>
      </c>
      <c r="X86" s="66"/>
      <c r="Y86" s="72">
        <f t="shared" si="52"/>
        <v>179.11699999999999</v>
      </c>
      <c r="Z86" s="72">
        <f t="shared" si="53"/>
        <v>179.11699999999999</v>
      </c>
      <c r="AA86" s="48" t="str">
        <f t="shared" si="54"/>
        <v>TRUE</v>
      </c>
      <c r="AH86" s="300"/>
      <c r="AI86" s="72">
        <f t="shared" si="45"/>
        <v>383.08324439999996</v>
      </c>
      <c r="AJ86" s="72">
        <f t="shared" si="50"/>
        <v>507.2441</v>
      </c>
      <c r="AK86" s="74"/>
      <c r="AL86" s="72">
        <f t="shared" si="55"/>
        <v>53.735099999999996</v>
      </c>
      <c r="AM86" s="72">
        <f t="shared" si="56"/>
        <v>55.114300899999989</v>
      </c>
      <c r="AN86" s="301"/>
      <c r="AO86" s="72">
        <f t="shared" si="46"/>
        <v>245.09608080000001</v>
      </c>
      <c r="AP86" s="72">
        <f t="shared" si="47"/>
        <v>359.49772759999996</v>
      </c>
      <c r="AQ86" s="74"/>
      <c r="AR86" s="72">
        <f t="shared" si="57"/>
        <v>38.725095400000001</v>
      </c>
      <c r="AS86" s="72">
        <f t="shared" si="58"/>
        <v>41.340203599999995</v>
      </c>
      <c r="AT86" s="301"/>
      <c r="AU86" s="72">
        <f t="shared" si="48"/>
        <v>349.4709866</v>
      </c>
      <c r="AV86" s="72">
        <f t="shared" si="49"/>
        <v>441.02568839999998</v>
      </c>
      <c r="AW86" s="66"/>
      <c r="AX86" s="72">
        <f t="shared" si="59"/>
        <v>35.823399999999999</v>
      </c>
      <c r="AY86" s="72">
        <f t="shared" si="60"/>
        <v>51.657342799999995</v>
      </c>
      <c r="AZ86" s="301"/>
      <c r="BA86" s="72">
        <f t="shared" si="39"/>
        <v>630.59168820000002</v>
      </c>
      <c r="BB86" s="72">
        <f t="shared" si="40"/>
        <v>536.75648399999989</v>
      </c>
      <c r="BC86" s="74"/>
      <c r="BD86" s="72">
        <f t="shared" si="61"/>
        <v>50.833404599999994</v>
      </c>
      <c r="BE86" s="72">
        <f t="shared" si="62"/>
        <v>31.0051527</v>
      </c>
      <c r="BF86" s="301"/>
      <c r="BG86" s="44"/>
      <c r="BH86" s="44"/>
      <c r="BI86" s="44"/>
      <c r="BJ86" s="44"/>
      <c r="BK86" s="44"/>
      <c r="BM86" s="44"/>
      <c r="BN86" s="44"/>
      <c r="BO86" s="44"/>
      <c r="BP86" s="44"/>
      <c r="BQ86" s="44"/>
      <c r="BS86" s="44"/>
      <c r="BT86" s="44"/>
      <c r="BU86" s="44"/>
      <c r="BV86" s="44"/>
      <c r="BW86" s="44"/>
      <c r="BY86" s="44"/>
      <c r="BZ86" s="44"/>
      <c r="CA86" s="44"/>
      <c r="CB86" s="44"/>
      <c r="CC86" s="44"/>
      <c r="CE86" s="44"/>
      <c r="CF86" s="44"/>
      <c r="CG86" s="44"/>
      <c r="CH86" s="44"/>
      <c r="CI86" s="44"/>
      <c r="CK86" s="44"/>
      <c r="CL86" s="44"/>
      <c r="CM86" s="44"/>
      <c r="CN86" s="44"/>
      <c r="CO86" s="44"/>
    </row>
    <row r="87" spans="1:93" x14ac:dyDescent="0.25">
      <c r="A87" s="35" t="s">
        <v>45</v>
      </c>
      <c r="B87" s="35" t="s">
        <v>153</v>
      </c>
      <c r="C87" s="35" t="s">
        <v>45</v>
      </c>
      <c r="D87" s="35" t="s">
        <v>48</v>
      </c>
      <c r="E87" s="35" t="s">
        <v>48</v>
      </c>
      <c r="F87" s="17" t="str">
        <f t="shared" ref="F87:F92" si="65">CONCATENATE(A87,"-",B87,"-",C87,"-",D87,"-",E87)</f>
        <v>02-5305-02-00-00</v>
      </c>
      <c r="G87" s="36" t="s">
        <v>29</v>
      </c>
      <c r="H87" s="31">
        <f t="shared" si="64"/>
        <v>0</v>
      </c>
      <c r="I87" s="31">
        <f t="shared" si="64"/>
        <v>0</v>
      </c>
      <c r="J87" s="31">
        <f t="shared" si="64"/>
        <v>0</v>
      </c>
      <c r="K87" s="31">
        <f t="shared" si="64"/>
        <v>0</v>
      </c>
      <c r="L87" s="20">
        <v>0</v>
      </c>
      <c r="M87" s="20">
        <v>0</v>
      </c>
      <c r="N87" s="206" t="s">
        <v>480</v>
      </c>
      <c r="P87" s="195">
        <f>INDEX('Apportionment Bases'!M$6:M$33,MATCH('PC2'!$N87,'Apportionment Bases'!$A$6:$A$33,0))</f>
        <v>0.14799999999999999</v>
      </c>
      <c r="Q87" s="195">
        <f>INDEX('Apportionment Bases'!N$6:N$33,MATCH('PC2'!$N87,'Apportionment Bases'!$A$6:$A$33,0))</f>
        <v>0.55000000000000004</v>
      </c>
      <c r="R87" s="199"/>
      <c r="S87" s="195">
        <f>INDEX('Apportionment Bases'!$P$6:$P$33,MATCH('PC2'!N87,'Apportionment Bases'!$A$6:$A$33,0))</f>
        <v>0.151</v>
      </c>
      <c r="T87" s="195">
        <f>INDEX('Apportionment Bases'!Q$6:Q$33,MATCH('PC2'!$N87,'Apportionment Bases'!$A$6:$A$33,0))</f>
        <v>0.151</v>
      </c>
      <c r="V87" s="72">
        <f t="shared" si="43"/>
        <v>0</v>
      </c>
      <c r="W87" s="72">
        <f t="shared" si="44"/>
        <v>0</v>
      </c>
      <c r="X87" s="66"/>
      <c r="Y87" s="72">
        <f t="shared" ref="Y87:Y92" si="66">S87*$L87</f>
        <v>0</v>
      </c>
      <c r="Z87" s="72">
        <f t="shared" ref="Z87:Z92" si="67">T87*$L87</f>
        <v>0</v>
      </c>
      <c r="AA87" s="48" t="str">
        <f t="shared" ref="AA87:AA92" si="68">IF(SUM(V87:Z87)=L87,"TRUE","FALSE")</f>
        <v>TRUE</v>
      </c>
      <c r="AH87" s="300"/>
      <c r="AI87" s="72">
        <f t="shared" si="45"/>
        <v>0</v>
      </c>
      <c r="AJ87" s="72">
        <f t="shared" si="50"/>
        <v>0</v>
      </c>
      <c r="AK87" s="74"/>
      <c r="AL87" s="72">
        <f t="shared" ref="AL87:AL92" si="69">$AF$7*$Y87</f>
        <v>0</v>
      </c>
      <c r="AM87" s="72">
        <f t="shared" ref="AM87:AM92" si="70">$AG$7*$Z87</f>
        <v>0</v>
      </c>
      <c r="AN87" s="301"/>
      <c r="AO87" s="72">
        <f t="shared" si="46"/>
        <v>0</v>
      </c>
      <c r="AP87" s="72">
        <f t="shared" si="47"/>
        <v>0</v>
      </c>
      <c r="AQ87" s="74"/>
      <c r="AR87" s="72">
        <f t="shared" ref="AR87:AR92" si="71">$AF$8*$Y87</f>
        <v>0</v>
      </c>
      <c r="AS87" s="72">
        <f t="shared" ref="AS87:AS92" si="72">$AG$8*$Z87</f>
        <v>0</v>
      </c>
      <c r="AT87" s="301"/>
      <c r="AU87" s="72">
        <f t="shared" si="48"/>
        <v>0</v>
      </c>
      <c r="AV87" s="72">
        <f t="shared" si="49"/>
        <v>0</v>
      </c>
      <c r="AW87" s="66"/>
      <c r="AX87" s="72">
        <f t="shared" ref="AX87:AX92" si="73">$AF$9*$Y87</f>
        <v>0</v>
      </c>
      <c r="AY87" s="72">
        <f t="shared" ref="AY87:AY92" si="74">$AG$9*$Z87</f>
        <v>0</v>
      </c>
      <c r="AZ87" s="301"/>
      <c r="BA87" s="72">
        <f t="shared" ref="BA87:BA92" si="75">$AC$10*$V87</f>
        <v>0</v>
      </c>
      <c r="BB87" s="72">
        <f t="shared" ref="BB87:BB92" si="76">$AD$10*$W87</f>
        <v>0</v>
      </c>
      <c r="BC87" s="74"/>
      <c r="BD87" s="72">
        <f t="shared" ref="BD87:BD92" si="77">$AF$10*$Y87</f>
        <v>0</v>
      </c>
      <c r="BE87" s="72">
        <f t="shared" ref="BE87:BE92" si="78">$AG$10*$Z87</f>
        <v>0</v>
      </c>
      <c r="BF87" s="301"/>
      <c r="BG87" s="44"/>
      <c r="BH87" s="44"/>
      <c r="BI87" s="44"/>
      <c r="BJ87" s="44"/>
      <c r="BK87" s="44"/>
      <c r="BM87" s="44"/>
      <c r="BN87" s="44"/>
      <c r="BO87" s="44"/>
      <c r="BP87" s="44"/>
      <c r="BQ87" s="44"/>
      <c r="BS87" s="44"/>
      <c r="BT87" s="44"/>
      <c r="BU87" s="44"/>
      <c r="BV87" s="44"/>
      <c r="BW87" s="44"/>
      <c r="BY87" s="44"/>
      <c r="BZ87" s="44"/>
      <c r="CA87" s="44"/>
      <c r="CB87" s="44"/>
      <c r="CC87" s="44"/>
      <c r="CE87" s="44"/>
      <c r="CF87" s="44"/>
      <c r="CG87" s="44"/>
      <c r="CH87" s="44"/>
      <c r="CI87" s="44"/>
      <c r="CK87" s="44"/>
      <c r="CL87" s="44"/>
      <c r="CM87" s="44"/>
      <c r="CN87" s="44"/>
      <c r="CO87" s="44"/>
    </row>
    <row r="88" spans="1:93" x14ac:dyDescent="0.25">
      <c r="A88" s="35" t="s">
        <v>45</v>
      </c>
      <c r="B88" s="35" t="s">
        <v>154</v>
      </c>
      <c r="C88" s="35" t="s">
        <v>47</v>
      </c>
      <c r="D88" s="35" t="s">
        <v>48</v>
      </c>
      <c r="E88" s="35" t="s">
        <v>48</v>
      </c>
      <c r="F88" s="17" t="str">
        <f t="shared" si="65"/>
        <v>02-5309-01-00-00</v>
      </c>
      <c r="G88" s="36" t="s">
        <v>155</v>
      </c>
      <c r="H88" s="31">
        <f t="shared" si="64"/>
        <v>1500</v>
      </c>
      <c r="I88" s="31">
        <f t="shared" si="64"/>
        <v>1500</v>
      </c>
      <c r="J88" s="31">
        <f t="shared" si="64"/>
        <v>1500</v>
      </c>
      <c r="K88" s="31">
        <f t="shared" si="64"/>
        <v>1500</v>
      </c>
      <c r="L88" s="20">
        <v>6000</v>
      </c>
      <c r="M88" s="20">
        <v>25004</v>
      </c>
      <c r="N88" s="206" t="s">
        <v>705</v>
      </c>
      <c r="P88" s="195">
        <f>INDEX('Apportionment Bases'!M$6:M$33,MATCH('PC2'!$N88,'Apportionment Bases'!$A$6:$A$33,0))</f>
        <v>0</v>
      </c>
      <c r="Q88" s="195">
        <f>INDEX('Apportionment Bases'!N$6:N$33,MATCH('PC2'!$N88,'Apportionment Bases'!$A$6:$A$33,0))</f>
        <v>0</v>
      </c>
      <c r="R88" s="199"/>
      <c r="S88" s="195">
        <f>INDEX('Apportionment Bases'!$P$6:$P$33,MATCH('PC2'!N88,'Apportionment Bases'!$A$6:$A$33,0))</f>
        <v>0.5</v>
      </c>
      <c r="T88" s="195">
        <f>INDEX('Apportionment Bases'!Q$6:Q$33,MATCH('PC2'!$N88,'Apportionment Bases'!$A$6:$A$33,0))</f>
        <v>0.5</v>
      </c>
      <c r="V88" s="72">
        <f t="shared" ref="V88:V92" si="79">P88*$L88</f>
        <v>0</v>
      </c>
      <c r="W88" s="72">
        <f t="shared" ref="W88:W92" si="80">Q88*$L88</f>
        <v>0</v>
      </c>
      <c r="X88" s="66"/>
      <c r="Y88" s="72">
        <f t="shared" si="66"/>
        <v>3000</v>
      </c>
      <c r="Z88" s="72">
        <f t="shared" si="67"/>
        <v>3000</v>
      </c>
      <c r="AA88" s="48" t="str">
        <f t="shared" si="68"/>
        <v>TRUE</v>
      </c>
      <c r="AH88" s="300"/>
      <c r="AI88" s="72">
        <f t="shared" ref="AI88:AI92" si="81">$AC$7*$V88</f>
        <v>0</v>
      </c>
      <c r="AJ88" s="72">
        <f t="shared" ref="AJ88:AJ92" si="82">$AD$7*$W88</f>
        <v>0</v>
      </c>
      <c r="AK88" s="74"/>
      <c r="AL88" s="72">
        <f t="shared" si="69"/>
        <v>900</v>
      </c>
      <c r="AM88" s="72">
        <f t="shared" si="70"/>
        <v>923.09999999999991</v>
      </c>
      <c r="AN88" s="301"/>
      <c r="AO88" s="72">
        <f t="shared" ref="AO88:AO92" si="83">$AC$8*$V88</f>
        <v>0</v>
      </c>
      <c r="AP88" s="72">
        <f t="shared" ref="AP88:AP92" si="84">$AD$8*$W88</f>
        <v>0</v>
      </c>
      <c r="AQ88" s="74"/>
      <c r="AR88" s="72">
        <f t="shared" si="71"/>
        <v>648.6</v>
      </c>
      <c r="AS88" s="72">
        <f t="shared" si="72"/>
        <v>692.4</v>
      </c>
      <c r="AT88" s="301"/>
      <c r="AU88" s="72">
        <f t="shared" ref="AU88:AU92" si="85">$AC$9*$V88</f>
        <v>0</v>
      </c>
      <c r="AV88" s="72">
        <f t="shared" ref="AV88:AV92" si="86">$AD$9*$W88</f>
        <v>0</v>
      </c>
      <c r="AW88" s="66"/>
      <c r="AX88" s="72">
        <f t="shared" si="73"/>
        <v>600</v>
      </c>
      <c r="AY88" s="72">
        <f t="shared" si="74"/>
        <v>865.19999999999993</v>
      </c>
      <c r="AZ88" s="301"/>
      <c r="BA88" s="72">
        <f t="shared" si="75"/>
        <v>0</v>
      </c>
      <c r="BB88" s="72">
        <f t="shared" si="76"/>
        <v>0</v>
      </c>
      <c r="BC88" s="74"/>
      <c r="BD88" s="72">
        <f t="shared" si="77"/>
        <v>851.4</v>
      </c>
      <c r="BE88" s="72">
        <f t="shared" si="78"/>
        <v>519.30000000000007</v>
      </c>
      <c r="BF88" s="301"/>
      <c r="BG88" s="44"/>
      <c r="BH88" s="44"/>
      <c r="BI88" s="44"/>
      <c r="BJ88" s="44"/>
      <c r="BK88" s="44"/>
      <c r="BM88" s="44"/>
      <c r="BN88" s="44"/>
      <c r="BO88" s="44"/>
      <c r="BP88" s="44"/>
      <c r="BQ88" s="44"/>
      <c r="BS88" s="44"/>
      <c r="BT88" s="44"/>
      <c r="BU88" s="44"/>
      <c r="BV88" s="44"/>
      <c r="BW88" s="44"/>
      <c r="BY88" s="44"/>
      <c r="BZ88" s="44"/>
      <c r="CA88" s="44"/>
      <c r="CB88" s="44"/>
      <c r="CC88" s="44"/>
      <c r="CE88" s="44"/>
      <c r="CF88" s="44"/>
      <c r="CG88" s="44"/>
      <c r="CH88" s="44"/>
      <c r="CI88" s="44"/>
      <c r="CK88" s="44"/>
      <c r="CL88" s="44"/>
      <c r="CM88" s="44"/>
      <c r="CN88" s="44"/>
      <c r="CO88" s="44"/>
    </row>
    <row r="89" spans="1:93" x14ac:dyDescent="0.25">
      <c r="A89" s="35" t="s">
        <v>45</v>
      </c>
      <c r="B89" s="35" t="s">
        <v>156</v>
      </c>
      <c r="C89" s="35" t="s">
        <v>47</v>
      </c>
      <c r="D89" s="35" t="s">
        <v>48</v>
      </c>
      <c r="E89" s="35" t="s">
        <v>48</v>
      </c>
      <c r="F89" s="17" t="str">
        <f t="shared" si="65"/>
        <v>02-5705-01-00-00</v>
      </c>
      <c r="G89" s="36" t="s">
        <v>30</v>
      </c>
      <c r="H89" s="31">
        <f t="shared" si="64"/>
        <v>1800</v>
      </c>
      <c r="I89" s="31">
        <f t="shared" si="64"/>
        <v>1800</v>
      </c>
      <c r="J89" s="31">
        <f t="shared" si="64"/>
        <v>1800</v>
      </c>
      <c r="K89" s="31">
        <f t="shared" si="64"/>
        <v>1800</v>
      </c>
      <c r="L89" s="20">
        <v>7200</v>
      </c>
      <c r="M89" s="20">
        <v>8412</v>
      </c>
      <c r="N89" s="206" t="s">
        <v>479</v>
      </c>
      <c r="P89" s="195">
        <f>INDEX('Apportionment Bases'!M$6:M$33,MATCH('PC2'!$N89,'Apportionment Bases'!$A$6:$A$33,0))</f>
        <v>0.42199999999999999</v>
      </c>
      <c r="Q89" s="195">
        <f>INDEX('Apportionment Bases'!N$6:N$33,MATCH('PC2'!$N89,'Apportionment Bases'!$A$6:$A$33,0))</f>
        <v>0.48399999999999999</v>
      </c>
      <c r="R89" s="199"/>
      <c r="S89" s="195">
        <f>INDEX('Apportionment Bases'!$P$6:$P$33,MATCH('PC2'!N89,'Apportionment Bases'!$A$6:$A$33,0))</f>
        <v>4.7E-2</v>
      </c>
      <c r="T89" s="195">
        <f>INDEX('Apportionment Bases'!Q$6:Q$33,MATCH('PC2'!$N89,'Apportionment Bases'!$A$6:$A$33,0))</f>
        <v>4.7E-2</v>
      </c>
      <c r="V89" s="72">
        <f t="shared" si="79"/>
        <v>3038.4</v>
      </c>
      <c r="W89" s="72">
        <f t="shared" si="80"/>
        <v>3484.7999999999997</v>
      </c>
      <c r="X89" s="66"/>
      <c r="Y89" s="72">
        <f t="shared" si="66"/>
        <v>338.4</v>
      </c>
      <c r="Z89" s="72">
        <f t="shared" si="67"/>
        <v>338.4</v>
      </c>
      <c r="AA89" s="48" t="str">
        <f t="shared" si="68"/>
        <v>TRUE</v>
      </c>
      <c r="AH89" s="300"/>
      <c r="AI89" s="72">
        <f t="shared" si="81"/>
        <v>723.74688000000003</v>
      </c>
      <c r="AJ89" s="72">
        <f t="shared" si="82"/>
        <v>958.32</v>
      </c>
      <c r="AK89" s="74"/>
      <c r="AL89" s="72">
        <f t="shared" si="69"/>
        <v>101.52</v>
      </c>
      <c r="AM89" s="72">
        <f t="shared" si="70"/>
        <v>104.12567999999999</v>
      </c>
      <c r="AN89" s="301"/>
      <c r="AO89" s="72">
        <f t="shared" si="83"/>
        <v>463.05216000000001</v>
      </c>
      <c r="AP89" s="72">
        <f t="shared" si="84"/>
        <v>679.18751999999995</v>
      </c>
      <c r="AQ89" s="74"/>
      <c r="AR89" s="72">
        <f t="shared" si="71"/>
        <v>73.162080000000003</v>
      </c>
      <c r="AS89" s="72">
        <f t="shared" si="72"/>
        <v>78.102719999999991</v>
      </c>
      <c r="AT89" s="301"/>
      <c r="AU89" s="72">
        <f t="shared" si="85"/>
        <v>660.24432000000002</v>
      </c>
      <c r="AV89" s="72">
        <f t="shared" si="86"/>
        <v>833.21567999999991</v>
      </c>
      <c r="AW89" s="66"/>
      <c r="AX89" s="72">
        <f t="shared" si="73"/>
        <v>67.679999999999993</v>
      </c>
      <c r="AY89" s="72">
        <f t="shared" si="74"/>
        <v>97.594559999999987</v>
      </c>
      <c r="AZ89" s="301"/>
      <c r="BA89" s="72">
        <f t="shared" si="75"/>
        <v>1191.35664</v>
      </c>
      <c r="BB89" s="72">
        <f t="shared" si="76"/>
        <v>1014.0767999999998</v>
      </c>
      <c r="BC89" s="74"/>
      <c r="BD89" s="72">
        <f t="shared" si="77"/>
        <v>96.037919999999986</v>
      </c>
      <c r="BE89" s="72">
        <f t="shared" si="78"/>
        <v>58.577039999999997</v>
      </c>
      <c r="BF89" s="301"/>
      <c r="BG89" s="44"/>
      <c r="BH89" s="44"/>
      <c r="BI89" s="44"/>
      <c r="BJ89" s="44"/>
      <c r="BK89" s="44"/>
      <c r="BM89" s="44"/>
      <c r="BN89" s="44"/>
      <c r="BO89" s="44"/>
      <c r="BP89" s="44"/>
      <c r="BQ89" s="44"/>
      <c r="BS89" s="44"/>
      <c r="BT89" s="44"/>
      <c r="BU89" s="44"/>
      <c r="BV89" s="44"/>
      <c r="BW89" s="44"/>
      <c r="BY89" s="44"/>
      <c r="BZ89" s="44"/>
      <c r="CA89" s="44"/>
      <c r="CB89" s="44"/>
      <c r="CC89" s="44"/>
      <c r="CE89" s="44"/>
      <c r="CF89" s="44"/>
      <c r="CG89" s="44"/>
      <c r="CH89" s="44"/>
      <c r="CI89" s="44"/>
      <c r="CK89" s="44"/>
      <c r="CL89" s="44"/>
      <c r="CM89" s="44"/>
      <c r="CN89" s="44"/>
      <c r="CO89" s="44"/>
    </row>
    <row r="90" spans="1:93" x14ac:dyDescent="0.25">
      <c r="A90" s="35" t="s">
        <v>45</v>
      </c>
      <c r="B90" s="35" t="s">
        <v>156</v>
      </c>
      <c r="C90" s="35" t="s">
        <v>45</v>
      </c>
      <c r="D90" s="35" t="s">
        <v>48</v>
      </c>
      <c r="E90" s="35" t="s">
        <v>48</v>
      </c>
      <c r="F90" s="17" t="str">
        <f t="shared" si="65"/>
        <v>02-5705-02-00-00</v>
      </c>
      <c r="G90" s="36" t="s">
        <v>30</v>
      </c>
      <c r="H90" s="31">
        <f t="shared" si="64"/>
        <v>0</v>
      </c>
      <c r="I90" s="31">
        <f t="shared" si="64"/>
        <v>0</v>
      </c>
      <c r="J90" s="31">
        <f t="shared" si="64"/>
        <v>0</v>
      </c>
      <c r="K90" s="31">
        <f t="shared" si="64"/>
        <v>0</v>
      </c>
      <c r="L90" s="20">
        <v>0</v>
      </c>
      <c r="M90" s="20">
        <v>0</v>
      </c>
      <c r="N90" s="206" t="s">
        <v>480</v>
      </c>
      <c r="P90" s="195">
        <f>INDEX('Apportionment Bases'!M$6:M$33,MATCH('PC2'!$N90,'Apportionment Bases'!$A$6:$A$33,0))</f>
        <v>0.14799999999999999</v>
      </c>
      <c r="Q90" s="195">
        <f>INDEX('Apportionment Bases'!N$6:N$33,MATCH('PC2'!$N90,'Apportionment Bases'!$A$6:$A$33,0))</f>
        <v>0.55000000000000004</v>
      </c>
      <c r="R90" s="199"/>
      <c r="S90" s="195">
        <f>INDEX('Apportionment Bases'!$P$6:$P$33,MATCH('PC2'!N90,'Apportionment Bases'!$A$6:$A$33,0))</f>
        <v>0.151</v>
      </c>
      <c r="T90" s="195">
        <f>INDEX('Apportionment Bases'!Q$6:Q$33,MATCH('PC2'!$N90,'Apportionment Bases'!$A$6:$A$33,0))</f>
        <v>0.151</v>
      </c>
      <c r="V90" s="72">
        <f t="shared" si="79"/>
        <v>0</v>
      </c>
      <c r="W90" s="72">
        <f t="shared" si="80"/>
        <v>0</v>
      </c>
      <c r="X90" s="66"/>
      <c r="Y90" s="72">
        <f t="shared" si="66"/>
        <v>0</v>
      </c>
      <c r="Z90" s="72">
        <f t="shared" si="67"/>
        <v>0</v>
      </c>
      <c r="AA90" s="48" t="str">
        <f t="shared" si="68"/>
        <v>TRUE</v>
      </c>
      <c r="AH90" s="300"/>
      <c r="AI90" s="72">
        <f t="shared" si="81"/>
        <v>0</v>
      </c>
      <c r="AJ90" s="72">
        <f t="shared" si="82"/>
        <v>0</v>
      </c>
      <c r="AK90" s="74"/>
      <c r="AL90" s="72">
        <f t="shared" si="69"/>
        <v>0</v>
      </c>
      <c r="AM90" s="72">
        <f t="shared" si="70"/>
        <v>0</v>
      </c>
      <c r="AN90" s="301"/>
      <c r="AO90" s="72">
        <f t="shared" si="83"/>
        <v>0</v>
      </c>
      <c r="AP90" s="72">
        <f t="shared" si="84"/>
        <v>0</v>
      </c>
      <c r="AQ90" s="74"/>
      <c r="AR90" s="72">
        <f t="shared" si="71"/>
        <v>0</v>
      </c>
      <c r="AS90" s="72">
        <f t="shared" si="72"/>
        <v>0</v>
      </c>
      <c r="AT90" s="301"/>
      <c r="AU90" s="72">
        <f t="shared" si="85"/>
        <v>0</v>
      </c>
      <c r="AV90" s="72">
        <f t="shared" si="86"/>
        <v>0</v>
      </c>
      <c r="AW90" s="66"/>
      <c r="AX90" s="72">
        <f t="shared" si="73"/>
        <v>0</v>
      </c>
      <c r="AY90" s="72">
        <f t="shared" si="74"/>
        <v>0</v>
      </c>
      <c r="AZ90" s="301"/>
      <c r="BA90" s="72">
        <f t="shared" si="75"/>
        <v>0</v>
      </c>
      <c r="BB90" s="72">
        <f t="shared" si="76"/>
        <v>0</v>
      </c>
      <c r="BC90" s="74"/>
      <c r="BD90" s="72">
        <f t="shared" si="77"/>
        <v>0</v>
      </c>
      <c r="BE90" s="72">
        <f t="shared" si="78"/>
        <v>0</v>
      </c>
      <c r="BF90" s="301"/>
      <c r="BG90" s="44"/>
      <c r="BH90" s="44"/>
      <c r="BI90" s="44"/>
      <c r="BJ90" s="44"/>
      <c r="BK90" s="44"/>
      <c r="BM90" s="44"/>
      <c r="BN90" s="44"/>
      <c r="BO90" s="44"/>
      <c r="BP90" s="44"/>
      <c r="BQ90" s="44"/>
      <c r="BS90" s="44"/>
      <c r="BT90" s="44"/>
      <c r="BU90" s="44"/>
      <c r="BV90" s="44"/>
      <c r="BW90" s="44"/>
      <c r="BY90" s="44"/>
      <c r="BZ90" s="44"/>
      <c r="CA90" s="44"/>
      <c r="CB90" s="44"/>
      <c r="CC90" s="44"/>
      <c r="CE90" s="44"/>
      <c r="CF90" s="44"/>
      <c r="CG90" s="44"/>
      <c r="CH90" s="44"/>
      <c r="CI90" s="44"/>
      <c r="CK90" s="44"/>
      <c r="CL90" s="44"/>
      <c r="CM90" s="44"/>
      <c r="CN90" s="44"/>
      <c r="CO90" s="44"/>
    </row>
    <row r="91" spans="1:93" x14ac:dyDescent="0.25">
      <c r="A91" s="35" t="s">
        <v>45</v>
      </c>
      <c r="B91" s="35" t="s">
        <v>158</v>
      </c>
      <c r="C91" s="35" t="s">
        <v>47</v>
      </c>
      <c r="D91" s="35" t="s">
        <v>48</v>
      </c>
      <c r="E91" s="35" t="s">
        <v>48</v>
      </c>
      <c r="F91" s="17" t="str">
        <f t="shared" si="65"/>
        <v>02-6500-01-00-00</v>
      </c>
      <c r="G91" s="37" t="s">
        <v>159</v>
      </c>
      <c r="H91" s="19">
        <f t="shared" si="64"/>
        <v>46220.5</v>
      </c>
      <c r="I91" s="19">
        <f t="shared" si="64"/>
        <v>46220.5</v>
      </c>
      <c r="J91" s="19">
        <f t="shared" si="64"/>
        <v>46220.5</v>
      </c>
      <c r="K91" s="19">
        <f t="shared" si="64"/>
        <v>46220.5</v>
      </c>
      <c r="L91" s="20">
        <v>184882</v>
      </c>
      <c r="M91" s="20">
        <v>189104.42231343436</v>
      </c>
      <c r="N91" s="206" t="s">
        <v>705</v>
      </c>
      <c r="P91" s="195">
        <f>INDEX('Apportionment Bases'!M$6:M$33,MATCH('PC2'!$N91,'Apportionment Bases'!$A$6:$A$33,0))</f>
        <v>0</v>
      </c>
      <c r="Q91" s="195">
        <f>INDEX('Apportionment Bases'!N$6:N$33,MATCH('PC2'!$N91,'Apportionment Bases'!$A$6:$A$33,0))</f>
        <v>0</v>
      </c>
      <c r="R91" s="199"/>
      <c r="S91" s="195">
        <f>INDEX('Apportionment Bases'!$P$6:$P$33,MATCH('PC2'!N91,'Apportionment Bases'!$A$6:$A$33,0))</f>
        <v>0.5</v>
      </c>
      <c r="T91" s="195">
        <f>INDEX('Apportionment Bases'!Q$6:Q$33,MATCH('PC2'!$N91,'Apportionment Bases'!$A$6:$A$33,0))</f>
        <v>0.5</v>
      </c>
      <c r="V91" s="72">
        <f t="shared" si="79"/>
        <v>0</v>
      </c>
      <c r="W91" s="72">
        <f t="shared" si="80"/>
        <v>0</v>
      </c>
      <c r="X91" s="66"/>
      <c r="Y91" s="72">
        <f t="shared" si="66"/>
        <v>92441</v>
      </c>
      <c r="Z91" s="72">
        <f t="shared" si="67"/>
        <v>92441</v>
      </c>
      <c r="AA91" s="48" t="str">
        <f t="shared" si="68"/>
        <v>TRUE</v>
      </c>
      <c r="AH91" s="300"/>
      <c r="AI91" s="72">
        <f t="shared" si="81"/>
        <v>0</v>
      </c>
      <c r="AJ91" s="72">
        <f t="shared" si="82"/>
        <v>0</v>
      </c>
      <c r="AK91" s="74"/>
      <c r="AL91" s="72">
        <f t="shared" si="69"/>
        <v>27732.3</v>
      </c>
      <c r="AM91" s="72">
        <f t="shared" si="70"/>
        <v>28444.095699999998</v>
      </c>
      <c r="AN91" s="301"/>
      <c r="AO91" s="72">
        <f t="shared" si="83"/>
        <v>0</v>
      </c>
      <c r="AP91" s="72">
        <f t="shared" si="84"/>
        <v>0</v>
      </c>
      <c r="AQ91" s="74"/>
      <c r="AR91" s="72">
        <f t="shared" si="71"/>
        <v>19985.744200000001</v>
      </c>
      <c r="AS91" s="72">
        <f t="shared" si="72"/>
        <v>21335.382799999999</v>
      </c>
      <c r="AT91" s="301"/>
      <c r="AU91" s="72">
        <f t="shared" si="85"/>
        <v>0</v>
      </c>
      <c r="AV91" s="72">
        <f t="shared" si="86"/>
        <v>0</v>
      </c>
      <c r="AW91" s="66"/>
      <c r="AX91" s="72">
        <f t="shared" si="73"/>
        <v>18488.2</v>
      </c>
      <c r="AY91" s="72">
        <f t="shared" si="74"/>
        <v>26659.984399999998</v>
      </c>
      <c r="AZ91" s="301"/>
      <c r="BA91" s="72">
        <f t="shared" si="75"/>
        <v>0</v>
      </c>
      <c r="BB91" s="72">
        <f t="shared" si="76"/>
        <v>0</v>
      </c>
      <c r="BC91" s="74"/>
      <c r="BD91" s="72">
        <f t="shared" si="77"/>
        <v>26234.755799999999</v>
      </c>
      <c r="BE91" s="72">
        <f t="shared" si="78"/>
        <v>16001.5371</v>
      </c>
      <c r="BF91" s="301"/>
      <c r="BG91" s="44"/>
      <c r="BH91" s="44"/>
      <c r="BI91" s="44"/>
      <c r="BJ91" s="44"/>
      <c r="BK91" s="44"/>
      <c r="BM91" s="44"/>
      <c r="BN91" s="44"/>
      <c r="BO91" s="44"/>
      <c r="BP91" s="44"/>
      <c r="BQ91" s="44"/>
      <c r="BS91" s="44"/>
      <c r="BT91" s="44"/>
      <c r="BU91" s="44"/>
      <c r="BV91" s="44"/>
      <c r="BW91" s="44"/>
      <c r="BY91" s="44"/>
      <c r="BZ91" s="44"/>
      <c r="CA91" s="44"/>
      <c r="CB91" s="44"/>
      <c r="CC91" s="44"/>
      <c r="CE91" s="44"/>
      <c r="CF91" s="44"/>
      <c r="CG91" s="44"/>
      <c r="CH91" s="44"/>
      <c r="CI91" s="44"/>
      <c r="CK91" s="44"/>
      <c r="CL91" s="44"/>
      <c r="CM91" s="44"/>
      <c r="CN91" s="44"/>
      <c r="CO91" s="44"/>
    </row>
    <row r="92" spans="1:93" x14ac:dyDescent="0.25">
      <c r="A92" s="35" t="s">
        <v>45</v>
      </c>
      <c r="B92" s="35" t="s">
        <v>158</v>
      </c>
      <c r="C92" s="35" t="s">
        <v>45</v>
      </c>
      <c r="D92" s="35" t="s">
        <v>48</v>
      </c>
      <c r="E92" s="35" t="s">
        <v>48</v>
      </c>
      <c r="F92" s="17" t="str">
        <f t="shared" si="65"/>
        <v>02-6500-02-00-00</v>
      </c>
      <c r="G92" s="37" t="s">
        <v>159</v>
      </c>
      <c r="H92" s="19">
        <f t="shared" si="64"/>
        <v>6009.5</v>
      </c>
      <c r="I92" s="19">
        <f t="shared" si="64"/>
        <v>6009.5</v>
      </c>
      <c r="J92" s="19">
        <f t="shared" si="64"/>
        <v>6009.5</v>
      </c>
      <c r="K92" s="19">
        <f t="shared" si="64"/>
        <v>6009.5</v>
      </c>
      <c r="L92" s="20">
        <v>24038</v>
      </c>
      <c r="M92" s="20">
        <v>22026</v>
      </c>
      <c r="N92" s="206" t="s">
        <v>705</v>
      </c>
      <c r="P92" s="195">
        <f>INDEX('Apportionment Bases'!M$6:M$33,MATCH('PC2'!$N92,'Apportionment Bases'!$A$6:$A$33,0))</f>
        <v>0</v>
      </c>
      <c r="Q92" s="195">
        <f>INDEX('Apportionment Bases'!N$6:N$33,MATCH('PC2'!$N92,'Apportionment Bases'!$A$6:$A$33,0))</f>
        <v>0</v>
      </c>
      <c r="R92" s="199"/>
      <c r="S92" s="195">
        <f>INDEX('Apportionment Bases'!$P$6:$P$33,MATCH('PC2'!N92,'Apportionment Bases'!$A$6:$A$33,0))</f>
        <v>0.5</v>
      </c>
      <c r="T92" s="195">
        <f>INDEX('Apportionment Bases'!Q$6:Q$33,MATCH('PC2'!$N92,'Apportionment Bases'!$A$6:$A$33,0))</f>
        <v>0.5</v>
      </c>
      <c r="V92" s="72">
        <f t="shared" si="79"/>
        <v>0</v>
      </c>
      <c r="W92" s="72">
        <f t="shared" si="80"/>
        <v>0</v>
      </c>
      <c r="X92" s="66"/>
      <c r="Y92" s="72">
        <f t="shared" si="66"/>
        <v>12019</v>
      </c>
      <c r="Z92" s="72">
        <f t="shared" si="67"/>
        <v>12019</v>
      </c>
      <c r="AA92" s="48" t="str">
        <f t="shared" si="68"/>
        <v>TRUE</v>
      </c>
      <c r="AH92" s="300"/>
      <c r="AI92" s="72">
        <f t="shared" si="81"/>
        <v>0</v>
      </c>
      <c r="AJ92" s="72">
        <f t="shared" si="82"/>
        <v>0</v>
      </c>
      <c r="AK92" s="74"/>
      <c r="AL92" s="72">
        <f t="shared" si="69"/>
        <v>3605.7</v>
      </c>
      <c r="AM92" s="72">
        <f t="shared" si="70"/>
        <v>3698.2462999999998</v>
      </c>
      <c r="AN92" s="301"/>
      <c r="AO92" s="72">
        <f t="shared" si="83"/>
        <v>0</v>
      </c>
      <c r="AP92" s="72">
        <f t="shared" si="84"/>
        <v>0</v>
      </c>
      <c r="AQ92" s="74"/>
      <c r="AR92" s="72">
        <f t="shared" si="71"/>
        <v>2598.5077999999999</v>
      </c>
      <c r="AS92" s="72">
        <f t="shared" si="72"/>
        <v>2773.9852000000001</v>
      </c>
      <c r="AT92" s="301"/>
      <c r="AU92" s="72">
        <f t="shared" si="85"/>
        <v>0</v>
      </c>
      <c r="AV92" s="72">
        <f t="shared" si="86"/>
        <v>0</v>
      </c>
      <c r="AW92" s="66"/>
      <c r="AX92" s="72">
        <f t="shared" si="73"/>
        <v>2403.8000000000002</v>
      </c>
      <c r="AY92" s="72">
        <f t="shared" si="74"/>
        <v>3466.2795999999998</v>
      </c>
      <c r="AZ92" s="301"/>
      <c r="BA92" s="72">
        <f t="shared" si="75"/>
        <v>0</v>
      </c>
      <c r="BB92" s="72">
        <f t="shared" si="76"/>
        <v>0</v>
      </c>
      <c r="BC92" s="74"/>
      <c r="BD92" s="72">
        <f t="shared" si="77"/>
        <v>3410.9922000000001</v>
      </c>
      <c r="BE92" s="72">
        <f t="shared" si="78"/>
        <v>2080.4888999999998</v>
      </c>
      <c r="BF92" s="301"/>
      <c r="BG92" s="44"/>
      <c r="BH92" s="44"/>
      <c r="BI92" s="44"/>
      <c r="BJ92" s="44"/>
      <c r="BK92" s="44"/>
      <c r="BM92" s="44"/>
      <c r="BN92" s="44"/>
      <c r="BO92" s="44"/>
      <c r="BP92" s="44"/>
      <c r="BQ92" s="44"/>
      <c r="BS92" s="44"/>
      <c r="BT92" s="44"/>
      <c r="BU92" s="44"/>
      <c r="BV92" s="44"/>
      <c r="BW92" s="44"/>
      <c r="BY92" s="44"/>
      <c r="BZ92" s="44"/>
      <c r="CA92" s="44"/>
      <c r="CB92" s="44"/>
      <c r="CC92" s="44"/>
      <c r="CE92" s="44"/>
      <c r="CF92" s="44"/>
      <c r="CG92" s="44"/>
      <c r="CH92" s="44"/>
      <c r="CI92" s="44"/>
      <c r="CK92" s="44"/>
      <c r="CL92" s="44"/>
      <c r="CM92" s="44"/>
      <c r="CN92" s="44"/>
      <c r="CO92" s="44"/>
    </row>
    <row r="93" spans="1:93" ht="15.75" thickBot="1" x14ac:dyDescent="0.3">
      <c r="A93" s="21"/>
      <c r="B93" s="21"/>
      <c r="C93" s="21"/>
      <c r="D93" s="21"/>
      <c r="E93" s="21"/>
      <c r="F93" s="22"/>
      <c r="G93" s="26" t="s">
        <v>160</v>
      </c>
      <c r="H93" s="24">
        <f>SUM(H7:H92)</f>
        <v>2043271.5</v>
      </c>
      <c r="I93" s="24">
        <f>SUM(I7:I92)</f>
        <v>2043271.5</v>
      </c>
      <c r="J93" s="24">
        <f>SUM(J7:J92)</f>
        <v>2043271.5</v>
      </c>
      <c r="K93" s="24">
        <f>SUM(K7:K92)</f>
        <v>2043271.5</v>
      </c>
      <c r="L93" s="24">
        <f>SUM(L23:L92)</f>
        <v>3205918</v>
      </c>
      <c r="M93" s="24">
        <f>SUM(M23:M92)</f>
        <v>3492774.4223134345</v>
      </c>
      <c r="N93" s="24"/>
      <c r="O93" s="24"/>
      <c r="P93" s="24"/>
      <c r="Q93" s="24"/>
      <c r="R93" s="24"/>
      <c r="S93" s="24"/>
      <c r="T93" s="28"/>
      <c r="U93" s="23"/>
      <c r="V93" s="29">
        <f>SUM(V23:V92)</f>
        <v>1551976.8419999999</v>
      </c>
      <c r="W93" s="29">
        <f>SUM(W23:W92)</f>
        <v>754138.72400000005</v>
      </c>
      <c r="X93" s="28"/>
      <c r="Y93" s="29">
        <f>SUM(Y23:Y92)</f>
        <v>449901.21700000006</v>
      </c>
      <c r="Z93" s="29">
        <f>SUM(Z23:Z92)</f>
        <v>449901.21700000006</v>
      </c>
      <c r="AA93" s="50"/>
      <c r="AB93" s="28"/>
      <c r="AC93" s="28"/>
      <c r="AD93" s="28"/>
      <c r="AE93" s="28"/>
      <c r="AF93" s="52"/>
      <c r="AG93" s="52"/>
      <c r="AH93" s="315"/>
      <c r="AI93" s="29">
        <f>SUM(AI23:AI92)</f>
        <v>369680.88376439991</v>
      </c>
      <c r="AJ93" s="29">
        <f>SUM(AJ23:AJ92)</f>
        <v>207388.14910000001</v>
      </c>
      <c r="AK93" s="29"/>
      <c r="AL93" s="29">
        <f>SUM(AL23:AL92)</f>
        <v>134970.3651</v>
      </c>
      <c r="AM93" s="29">
        <f>SUM(AM23:AM92)</f>
        <v>138434.6044709</v>
      </c>
      <c r="AN93" s="306"/>
      <c r="AO93" s="29">
        <f>SUM(AO23:AO92)</f>
        <v>236521.27072080001</v>
      </c>
      <c r="AP93" s="29">
        <f>SUM(AP23:AP92)</f>
        <v>146981.63730759997</v>
      </c>
      <c r="AQ93" s="29"/>
      <c r="AR93" s="29">
        <f>SUM(AR23:AR92)</f>
        <v>97268.643115400031</v>
      </c>
      <c r="AS93" s="29">
        <f>SUM(AS23:AS92)</f>
        <v>103837.20088359999</v>
      </c>
      <c r="AT93" s="306"/>
      <c r="AU93" s="29">
        <f>SUM(AU23:AU92)</f>
        <v>337244.5677666</v>
      </c>
      <c r="AV93" s="29">
        <f>SUM(AV23:AV92)</f>
        <v>180314.56890840002</v>
      </c>
      <c r="AW93" s="28"/>
      <c r="AX93" s="29">
        <f>SUM(AX23:AX92)</f>
        <v>89980.243399999992</v>
      </c>
      <c r="AY93" s="29">
        <f>SUM(AY23:AY92)</f>
        <v>129751.51098279997</v>
      </c>
      <c r="AZ93" s="306"/>
      <c r="BA93" s="29">
        <f>SUM(BA23:BA92)</f>
        <v>608530.11974820006</v>
      </c>
      <c r="BB93" s="29">
        <f>SUM(BB23:BB92)</f>
        <v>219454.36868399999</v>
      </c>
      <c r="BC93" s="29"/>
      <c r="BD93" s="29">
        <f>SUM(BD23:BD92)</f>
        <v>127681.96538459996</v>
      </c>
      <c r="BE93" s="29">
        <f>SUM(BE23:BE92)</f>
        <v>77877.90066270002</v>
      </c>
      <c r="BF93" s="306"/>
      <c r="BG93" s="29"/>
      <c r="BH93" s="29"/>
      <c r="BI93" s="29"/>
      <c r="BJ93" s="29"/>
      <c r="BK93" s="29"/>
      <c r="BL93" s="28"/>
      <c r="BM93" s="29"/>
      <c r="BN93" s="29"/>
      <c r="BO93" s="29"/>
      <c r="BP93" s="29"/>
      <c r="BQ93" s="29"/>
      <c r="BR93" s="28"/>
      <c r="BS93" s="29"/>
      <c r="BT93" s="29"/>
      <c r="BU93" s="29"/>
      <c r="BV93" s="29"/>
      <c r="BW93" s="29"/>
      <c r="BX93" s="28"/>
      <c r="BY93" s="29"/>
      <c r="BZ93" s="29"/>
      <c r="CA93" s="29"/>
      <c r="CB93" s="29"/>
      <c r="CC93" s="29"/>
      <c r="CD93" s="28"/>
      <c r="CE93" s="29"/>
      <c r="CF93" s="29"/>
      <c r="CG93" s="29"/>
      <c r="CH93" s="29"/>
      <c r="CI93" s="29"/>
      <c r="CJ93" s="28"/>
      <c r="CK93" s="29"/>
      <c r="CL93" s="29"/>
      <c r="CM93" s="29"/>
      <c r="CN93" s="29"/>
      <c r="CO93" s="29"/>
    </row>
    <row r="94" spans="1:93" ht="15.75" thickTop="1" x14ac:dyDescent="0.25">
      <c r="G94" s="266" t="s">
        <v>696</v>
      </c>
      <c r="H94" s="266"/>
      <c r="I94" s="266"/>
      <c r="J94" s="266"/>
      <c r="K94" s="266"/>
      <c r="L94" s="536">
        <v>54</v>
      </c>
      <c r="O94" s="6"/>
      <c r="P94" s="6"/>
      <c r="Q94" s="6"/>
      <c r="R94" s="6"/>
      <c r="S94" s="6"/>
      <c r="AG94"/>
      <c r="AH94" s="301"/>
      <c r="AI94" s="67"/>
      <c r="AJ94" s="67"/>
      <c r="AK94" s="67"/>
      <c r="AL94" s="67"/>
      <c r="AM94" s="67"/>
      <c r="AN94" s="301"/>
      <c r="AO94" s="67"/>
      <c r="AP94" s="67"/>
      <c r="AQ94" s="67"/>
      <c r="AR94" s="67"/>
      <c r="AS94" s="67"/>
      <c r="AT94" s="301"/>
      <c r="AU94" s="67"/>
      <c r="AV94" s="67"/>
      <c r="AX94" s="67"/>
      <c r="AY94" s="67"/>
      <c r="AZ94" s="301"/>
      <c r="BA94" s="67"/>
      <c r="BB94" s="67"/>
      <c r="BC94" s="67"/>
      <c r="BD94" s="67"/>
      <c r="BE94" s="67"/>
      <c r="BF94" s="301"/>
    </row>
    <row r="95" spans="1:93" ht="15.75" thickBot="1" x14ac:dyDescent="0.3">
      <c r="A95" s="27"/>
      <c r="B95" s="27"/>
      <c r="C95" s="27"/>
      <c r="D95" s="27"/>
      <c r="E95" s="27"/>
      <c r="F95" s="27"/>
      <c r="G95" s="28" t="s">
        <v>161</v>
      </c>
      <c r="H95" s="29">
        <f t="shared" ref="H95:M95" si="87">H93+H20</f>
        <v>2664167.5</v>
      </c>
      <c r="I95" s="29">
        <f t="shared" si="87"/>
        <v>2664167.5</v>
      </c>
      <c r="J95" s="29">
        <f t="shared" si="87"/>
        <v>2664167.5</v>
      </c>
      <c r="K95" s="29">
        <f t="shared" si="87"/>
        <v>2664167.5</v>
      </c>
      <c r="L95" s="34">
        <f>L93+L20+L94</f>
        <v>5689556</v>
      </c>
      <c r="M95" s="29">
        <f t="shared" si="87"/>
        <v>3492774.4223134345</v>
      </c>
      <c r="N95" s="29"/>
      <c r="O95" s="29"/>
      <c r="P95" s="29"/>
      <c r="Q95" s="29"/>
      <c r="R95" s="29"/>
      <c r="S95" s="29"/>
      <c r="T95" s="28"/>
      <c r="U95" s="23"/>
      <c r="V95" s="29">
        <f>V93+V20</f>
        <v>2511760.9479999999</v>
      </c>
      <c r="W95" s="29">
        <f>W93+W20</f>
        <v>1963794.952</v>
      </c>
      <c r="X95" s="28"/>
      <c r="Y95" s="29">
        <f>Y93+Y20</f>
        <v>606973.05000000005</v>
      </c>
      <c r="Z95" s="29">
        <f>Z93+Z20</f>
        <v>606973.05000000005</v>
      </c>
      <c r="AA95" s="50"/>
      <c r="AB95" s="28"/>
      <c r="AC95" s="28"/>
      <c r="AD95" s="28"/>
      <c r="AE95" s="28"/>
      <c r="AF95" s="53"/>
      <c r="AG95" s="53"/>
      <c r="AH95" s="316"/>
      <c r="AI95" s="29">
        <f>AI93+AI20</f>
        <v>598301.45781359985</v>
      </c>
      <c r="AJ95" s="29">
        <f>AJ93+AJ20</f>
        <v>540043.61180000007</v>
      </c>
      <c r="AK95" s="29"/>
      <c r="AL95" s="29">
        <f>AL93+AL20</f>
        <v>182091.91499999998</v>
      </c>
      <c r="AM95" s="29">
        <f>AM93+AM20</f>
        <v>186765.60748499999</v>
      </c>
      <c r="AN95" s="320"/>
      <c r="AO95" s="29">
        <f>AO93+AO20</f>
        <v>382792.36847520003</v>
      </c>
      <c r="AP95" s="29">
        <f>AP93+AP20</f>
        <v>382743.6361448</v>
      </c>
      <c r="AQ95" s="29"/>
      <c r="AR95" s="29">
        <f>AR93+AR20</f>
        <v>131227.57341000001</v>
      </c>
      <c r="AS95" s="29">
        <f>AS93+AS20</f>
        <v>140089.37993999998</v>
      </c>
      <c r="AT95" s="320"/>
      <c r="AU95" s="29">
        <f>AU93+AU20</f>
        <v>545805.65400039998</v>
      </c>
      <c r="AV95" s="29">
        <f>AV93+AV20</f>
        <v>469543.37302320002</v>
      </c>
      <c r="AW95" s="28"/>
      <c r="AX95" s="29">
        <f>AX93+AX20</f>
        <v>121394.61</v>
      </c>
      <c r="AY95" s="29">
        <f>AY93+AY20</f>
        <v>175051.02761999998</v>
      </c>
      <c r="AZ95" s="320"/>
      <c r="BA95" s="29">
        <f>BA93+BA20</f>
        <v>984861.4677108</v>
      </c>
      <c r="BB95" s="29">
        <f>BB93+BB20</f>
        <v>571464.33103200002</v>
      </c>
      <c r="BC95" s="29"/>
      <c r="BD95" s="29">
        <f>BD93+BD20</f>
        <v>172258.95158999995</v>
      </c>
      <c r="BE95" s="29">
        <f>BE93+BE20</f>
        <v>105067.03495500001</v>
      </c>
      <c r="BF95" s="320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</row>
    <row r="96" spans="1:93" ht="15.75" thickTop="1" x14ac:dyDescent="0.25">
      <c r="AH96" s="300"/>
      <c r="AI96" s="55">
        <f>AI95/$V$95</f>
        <v>0.23819999999999994</v>
      </c>
      <c r="AJ96" s="55">
        <f>AJ95/$W$95</f>
        <v>0.27500000000000002</v>
      </c>
      <c r="AL96" s="55">
        <f>AL95/$Y$95</f>
        <v>0.29999999999999993</v>
      </c>
      <c r="AM96" s="55">
        <f>AM95/$Z$95</f>
        <v>0.30769999999999997</v>
      </c>
      <c r="AN96" s="301"/>
      <c r="AO96" s="55">
        <f>AO95/$V$95</f>
        <v>0.15240000000000001</v>
      </c>
      <c r="AP96" s="55">
        <f>AP95/$W$95</f>
        <v>0.19489999999999999</v>
      </c>
      <c r="AR96" s="55">
        <f>AR95/$Y$95</f>
        <v>0.2162</v>
      </c>
      <c r="AS96" s="55">
        <f>AS95/$Z$95</f>
        <v>0.23079999999999995</v>
      </c>
      <c r="AT96" s="301"/>
      <c r="AU96" s="55">
        <f>AU95/$V$95</f>
        <v>0.21729999999999999</v>
      </c>
      <c r="AV96" s="55">
        <f>AV95/$W$95</f>
        <v>0.23910000000000001</v>
      </c>
      <c r="AX96" s="55">
        <f>AX95/$Y$95</f>
        <v>0.19999999999999998</v>
      </c>
      <c r="AY96" s="55">
        <f>AY95/$Z$95</f>
        <v>0.28839999999999993</v>
      </c>
      <c r="AZ96" s="301"/>
      <c r="BA96" s="55">
        <f>BA95/$V$95</f>
        <v>0.3921</v>
      </c>
      <c r="BB96" s="55">
        <f>BB95/$W$95</f>
        <v>0.29099999999999998</v>
      </c>
      <c r="BD96" s="55">
        <f>BD95/$Y$95</f>
        <v>0.28379999999999989</v>
      </c>
      <c r="BE96" s="55">
        <f>BE95/$Z$95</f>
        <v>0.1731</v>
      </c>
      <c r="BF96" s="301"/>
      <c r="BG96" s="55"/>
      <c r="BH96" s="55"/>
      <c r="BI96" s="55"/>
      <c r="BJ96" s="55"/>
      <c r="BK96" s="55"/>
      <c r="BM96" s="55"/>
      <c r="BN96" s="55"/>
      <c r="BO96" s="55"/>
      <c r="BP96" s="55"/>
      <c r="BQ96" s="55"/>
      <c r="BS96" s="55"/>
      <c r="BT96" s="55"/>
      <c r="BU96" s="55"/>
      <c r="BV96" s="55"/>
      <c r="BW96" s="55"/>
      <c r="BY96" s="55"/>
      <c r="BZ96" s="55"/>
      <c r="CA96" s="55"/>
      <c r="CB96" s="55"/>
      <c r="CC96" s="55"/>
      <c r="CE96" s="55"/>
      <c r="CF96" s="55"/>
      <c r="CG96" s="55"/>
      <c r="CH96" s="55"/>
      <c r="CI96" s="55"/>
      <c r="CK96" s="55"/>
      <c r="CL96" s="55"/>
      <c r="CM96" s="55"/>
      <c r="CN96" s="55"/>
    </row>
    <row r="97" spans="34:92" x14ac:dyDescent="0.25">
      <c r="AH97" s="300"/>
      <c r="AI97" s="54" t="str">
        <f>IF(AI96=AC7,"TRUE","FALSE")</f>
        <v>TRUE</v>
      </c>
      <c r="AJ97" s="54" t="str">
        <f>IF(AJ96=AD7,"TRUE","FALSE")</f>
        <v>TRUE</v>
      </c>
      <c r="AL97" s="54" t="str">
        <f>IF(AL96=AF7,"TRUE","FALSE")</f>
        <v>TRUE</v>
      </c>
      <c r="AM97" s="54" t="str">
        <f>IF(AM96=AG7,"TRUE","FALSE")</f>
        <v>TRUE</v>
      </c>
      <c r="AN97" s="301"/>
      <c r="AO97" s="54" t="str">
        <f>IF(AO96=AC8,"TRUE","FALSE")</f>
        <v>TRUE</v>
      </c>
      <c r="AP97" s="54" t="str">
        <f>IF(AP96=AD8,"TRUE","FALSE")</f>
        <v>TRUE</v>
      </c>
      <c r="AR97" s="54" t="str">
        <f>IF(AR96=AF8,"TRUE","FALSE")</f>
        <v>TRUE</v>
      </c>
      <c r="AS97" s="54" t="str">
        <f>IF(AS96=AG8,"TRUE","FALSE")</f>
        <v>TRUE</v>
      </c>
      <c r="AT97" s="301"/>
      <c r="AU97" s="54" t="str">
        <f>IF(AU96=AC9,"TRUE","FALSE")</f>
        <v>TRUE</v>
      </c>
      <c r="AV97" s="54" t="str">
        <f>IF(AV96=AD9,"TRUE","FALSE")</f>
        <v>TRUE</v>
      </c>
      <c r="AX97" s="54" t="str">
        <f>IF(AX96=AF9,"TRUE","FALSE")</f>
        <v>TRUE</v>
      </c>
      <c r="AY97" s="54" t="str">
        <f>IF(AY96=AG9,"TRUE","FALSE")</f>
        <v>TRUE</v>
      </c>
      <c r="AZ97" s="301"/>
      <c r="BA97" s="54" t="str">
        <f>IF(BA96=AC10,"TRUE","FALSE")</f>
        <v>TRUE</v>
      </c>
      <c r="BB97" s="54" t="str">
        <f>IF(BB96=AD10,"TRUE","FALSE")</f>
        <v>TRUE</v>
      </c>
      <c r="BD97" s="54" t="str">
        <f>IF(BD96=AF10,"TRUE","FALSE")</f>
        <v>TRUE</v>
      </c>
      <c r="BE97" s="54" t="str">
        <f>IF(BE96=AG10,"TRUE","FALSE")</f>
        <v>TRUE</v>
      </c>
      <c r="BF97" s="301"/>
      <c r="BG97" s="54"/>
      <c r="BH97" s="54"/>
      <c r="BI97" s="54"/>
      <c r="BJ97" s="54"/>
      <c r="BK97" s="54"/>
      <c r="BM97" s="54"/>
      <c r="BN97" s="54"/>
      <c r="BO97" s="54"/>
      <c r="BP97" s="54"/>
      <c r="BQ97" s="54"/>
      <c r="BS97" s="54"/>
      <c r="BT97" s="54"/>
      <c r="BU97" s="54"/>
      <c r="BV97" s="54"/>
      <c r="BW97" s="54"/>
      <c r="BY97" s="54"/>
      <c r="BZ97" s="54"/>
      <c r="CA97" s="54"/>
      <c r="CB97" s="54"/>
      <c r="CC97" s="54"/>
      <c r="CE97" s="54"/>
      <c r="CF97" s="54"/>
      <c r="CG97" s="54"/>
      <c r="CH97" s="54"/>
      <c r="CI97" s="54"/>
      <c r="CK97" s="54"/>
      <c r="CL97" s="54"/>
      <c r="CM97" s="54"/>
      <c r="CN97" s="54"/>
    </row>
    <row r="98" spans="34:92" ht="6.75" customHeight="1" x14ac:dyDescent="0.25">
      <c r="AH98" s="300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</row>
  </sheetData>
  <mergeCells count="17">
    <mergeCell ref="A1:N1"/>
    <mergeCell ref="A2:N2"/>
    <mergeCell ref="A22:G22"/>
    <mergeCell ref="P4:T4"/>
    <mergeCell ref="A6:G6"/>
    <mergeCell ref="V4:Z4"/>
    <mergeCell ref="CK4:CO4"/>
    <mergeCell ref="BG4:BK4"/>
    <mergeCell ref="BM4:BQ4"/>
    <mergeCell ref="BS4:BW4"/>
    <mergeCell ref="BY4:CC4"/>
    <mergeCell ref="CE4:CI4"/>
    <mergeCell ref="AU4:AY4"/>
    <mergeCell ref="BA4:BE4"/>
    <mergeCell ref="AO4:AS4"/>
    <mergeCell ref="AC4:AG4"/>
    <mergeCell ref="AI4:AM4"/>
  </mergeCells>
  <conditionalFormatting sqref="N23:N92">
    <cfRule type="containsText" dxfId="1151" priority="19" operator="containsText" text="AWT">
      <formula>NOT(ISERROR(SEARCH("AWT",N23)))</formula>
    </cfRule>
    <cfRule type="containsText" dxfId="1150" priority="20" operator="containsText" text="Solids">
      <formula>NOT(ISERROR(SEARCH("Solids",N23)))</formula>
    </cfRule>
    <cfRule type="containsText" dxfId="1149" priority="21" operator="containsText" text="Liquids">
      <formula>NOT(ISERROR(SEARCH("Liquids",N23)))</formula>
    </cfRule>
    <cfRule type="containsText" dxfId="1148" priority="22" operator="containsText" text="Insurance">
      <formula>NOT(ISERROR(SEARCH("Insurance",N23)))</formula>
    </cfRule>
    <cfRule type="containsText" dxfId="1147" priority="23" operator="containsText" text="Region 9">
      <formula>NOT(ISERROR(SEARCH("Region 9",N23)))</formula>
    </cfRule>
    <cfRule type="containsText" dxfId="1146" priority="24" operator="containsText" text="ETM">
      <formula>NOT(ISERROR(SEARCH("ETM",N23)))</formula>
    </cfRule>
    <cfRule type="containsText" dxfId="1145" priority="25" operator="containsText" text="Outfall">
      <formula>NOT(ISERROR(SEARCH("Outfall",N23)))</formula>
    </cfRule>
    <cfRule type="containsText" dxfId="1144" priority="26" operator="containsText" text="Petroleum">
      <formula>NOT(ISERROR(SEARCH("Petroleum",N23)))</formula>
    </cfRule>
    <cfRule type="containsText" dxfId="1143" priority="27" operator="containsText" text="Laboratory">
      <formula>NOT(ISERROR(SEARCH("Laboratory",N23)))</formula>
    </cfRule>
    <cfRule type="containsText" dxfId="1142" priority="28" operator="containsText" text="Odor Control">
      <formula>NOT(ISERROR(SEARCH("Odor Control",N23)))</formula>
    </cfRule>
    <cfRule type="containsText" dxfId="1141" priority="29" operator="containsText" text="Ferric">
      <formula>NOT(ISERROR(SEARCH("Ferric",N23)))</formula>
    </cfRule>
    <cfRule type="containsText" dxfId="1140" priority="30" operator="containsText" text="Chlorine">
      <formula>NOT(ISERROR(SEARCH("Chlorine",N23)))</formula>
    </cfRule>
    <cfRule type="containsText" dxfId="1139" priority="31" operator="containsText" text="Potable">
      <formula>NOT(ISERROR(SEARCH("Potable",N23)))</formula>
    </cfRule>
    <cfRule type="containsText" dxfId="1138" priority="32" operator="containsText" text="Natural Gas">
      <formula>NOT(ISERROR(SEARCH("Natural Gas",N23)))</formula>
    </cfRule>
    <cfRule type="containsText" dxfId="1137" priority="33" operator="containsText" text="Electricity">
      <formula>NOT(ISERROR(SEARCH("Electricity",N23)))</formula>
    </cfRule>
    <cfRule type="containsText" dxfId="1136" priority="34" operator="containsText" text="Common">
      <formula>NOT(ISERROR(SEARCH("Common",N23)))</formula>
    </cfRule>
    <cfRule type="containsText" dxfId="1135" priority="35" operator="containsText" text="Actual Use">
      <formula>NOT(ISERROR(SEARCH("Actual Use",N23)))</formula>
    </cfRule>
    <cfRule type="containsText" dxfId="1134" priority="36" operator="containsText" text="Labor -">
      <formula>NOT(ISERROR(SEARCH("Labor -",N23)))</formula>
    </cfRule>
  </conditionalFormatting>
  <conditionalFormatting sqref="N7:N18">
    <cfRule type="containsText" dxfId="1133" priority="37" operator="containsText" text="Insurance">
      <formula>NOT(ISERROR(SEARCH("Insurance",N7)))</formula>
    </cfRule>
    <cfRule type="containsText" dxfId="1132" priority="38" operator="containsText" text="Region 9">
      <formula>NOT(ISERROR(SEARCH("Region 9",N7)))</formula>
    </cfRule>
    <cfRule type="containsText" dxfId="1131" priority="39" operator="containsText" text="ETM">
      <formula>NOT(ISERROR(SEARCH("ETM",N7)))</formula>
    </cfRule>
    <cfRule type="containsText" dxfId="1130" priority="40" operator="containsText" text="Outfall">
      <formula>NOT(ISERROR(SEARCH("Outfall",N7)))</formula>
    </cfRule>
    <cfRule type="containsText" dxfId="1129" priority="41" operator="containsText" text="Petroleum">
      <formula>NOT(ISERROR(SEARCH("Petroleum",N7)))</formula>
    </cfRule>
    <cfRule type="containsText" dxfId="1128" priority="42" operator="containsText" text="Laboratory">
      <formula>NOT(ISERROR(SEARCH("Laboratory",N7)))</formula>
    </cfRule>
    <cfRule type="containsText" dxfId="1127" priority="43" operator="containsText" text="Odor Control">
      <formula>NOT(ISERROR(SEARCH("Odor Control",N7)))</formula>
    </cfRule>
    <cfRule type="containsText" dxfId="1126" priority="44" operator="containsText" text="Ferric">
      <formula>NOT(ISERROR(SEARCH("Ferric",N7)))</formula>
    </cfRule>
    <cfRule type="containsText" dxfId="1125" priority="45" operator="containsText" text="Chlorine">
      <formula>NOT(ISERROR(SEARCH("Chlorine",N7)))</formula>
    </cfRule>
    <cfRule type="containsText" dxfId="1124" priority="46" operator="containsText" text="Potable">
      <formula>NOT(ISERROR(SEARCH("Potable",N7)))</formula>
    </cfRule>
    <cfRule type="containsText" dxfId="1123" priority="47" operator="containsText" text="Natural Gas">
      <formula>NOT(ISERROR(SEARCH("Natural Gas",N7)))</formula>
    </cfRule>
    <cfRule type="containsText" dxfId="1122" priority="48" operator="containsText" text="Electricity">
      <formula>NOT(ISERROR(SEARCH("Electricity",N7)))</formula>
    </cfRule>
    <cfRule type="containsText" dxfId="1121" priority="49" operator="containsText" text="Single Area">
      <formula>NOT(ISERROR(SEARCH("Single Area",N7)))</formula>
    </cfRule>
    <cfRule type="containsText" dxfId="1120" priority="50" operator="containsText" text="Actual Use">
      <formula>NOT(ISERROR(SEARCH("Actual Use",N7)))</formula>
    </cfRule>
    <cfRule type="containsText" dxfId="1119" priority="51" operator="containsText" text="Labor -">
      <formula>NOT(ISERROR(SEARCH("Labor -",N7)))</formula>
    </cfRule>
  </conditionalFormatting>
  <conditionalFormatting sqref="N19">
    <cfRule type="containsText" dxfId="1118" priority="1" operator="containsText" text="AWT">
      <formula>NOT(ISERROR(SEARCH("AWT",N19)))</formula>
    </cfRule>
    <cfRule type="containsText" dxfId="1117" priority="2" operator="containsText" text="Solids">
      <formula>NOT(ISERROR(SEARCH("Solids",N19)))</formula>
    </cfRule>
    <cfRule type="containsText" dxfId="1116" priority="3" operator="containsText" text="Liquids">
      <formula>NOT(ISERROR(SEARCH("Liquids",N19)))</formula>
    </cfRule>
    <cfRule type="containsText" dxfId="1115" priority="4" operator="containsText" text="Insurance">
      <formula>NOT(ISERROR(SEARCH("Insurance",N19)))</formula>
    </cfRule>
    <cfRule type="containsText" dxfId="1114" priority="5" operator="containsText" text="Region 9">
      <formula>NOT(ISERROR(SEARCH("Region 9",N19)))</formula>
    </cfRule>
    <cfRule type="containsText" dxfId="1113" priority="6" operator="containsText" text="ETM">
      <formula>NOT(ISERROR(SEARCH("ETM",N19)))</formula>
    </cfRule>
    <cfRule type="containsText" dxfId="1112" priority="7" operator="containsText" text="Outfall">
      <formula>NOT(ISERROR(SEARCH("Outfall",N19)))</formula>
    </cfRule>
    <cfRule type="containsText" dxfId="1111" priority="8" operator="containsText" text="Petroleum">
      <formula>NOT(ISERROR(SEARCH("Petroleum",N19)))</formula>
    </cfRule>
    <cfRule type="containsText" dxfId="1110" priority="9" operator="containsText" text="Laboratory">
      <formula>NOT(ISERROR(SEARCH("Laboratory",N19)))</formula>
    </cfRule>
    <cfRule type="containsText" dxfId="1109" priority="10" operator="containsText" text="Odor Control">
      <formula>NOT(ISERROR(SEARCH("Odor Control",N19)))</formula>
    </cfRule>
    <cfRule type="containsText" dxfId="1108" priority="11" operator="containsText" text="Ferric">
      <formula>NOT(ISERROR(SEARCH("Ferric",N19)))</formula>
    </cfRule>
    <cfRule type="containsText" dxfId="1107" priority="12" operator="containsText" text="Chlorine">
      <formula>NOT(ISERROR(SEARCH("Chlorine",N19)))</formula>
    </cfRule>
    <cfRule type="containsText" dxfId="1106" priority="13" operator="containsText" text="Potable">
      <formula>NOT(ISERROR(SEARCH("Potable",N19)))</formula>
    </cfRule>
    <cfRule type="containsText" dxfId="1105" priority="14" operator="containsText" text="Natural Gas">
      <formula>NOT(ISERROR(SEARCH("Natural Gas",N19)))</formula>
    </cfRule>
    <cfRule type="containsText" dxfId="1104" priority="15" operator="containsText" text="Electricity">
      <formula>NOT(ISERROR(SEARCH("Electricity",N19)))</formula>
    </cfRule>
    <cfRule type="containsText" dxfId="1103" priority="16" operator="containsText" text="Common">
      <formula>NOT(ISERROR(SEARCH("Common",N19)))</formula>
    </cfRule>
    <cfRule type="containsText" dxfId="1102" priority="17" operator="containsText" text="Actual Use">
      <formula>NOT(ISERROR(SEARCH("Actual Use",N19)))</formula>
    </cfRule>
    <cfRule type="containsText" dxfId="1101" priority="18" operator="containsText" text="Labor -">
      <formula>NOT(ISERROR(SEARCH("Labor -",N19)))</formula>
    </cfRule>
  </conditionalFormatting>
  <pageMargins left="0.25" right="0.25" top="0.75" bottom="0.75" header="0.3" footer="0.3"/>
  <pageSetup scale="2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200-000000000000}">
          <x14:formula1>
            <xm:f>'Apportionment Bases'!$A$6:$A$33</xm:f>
          </x14:formula1>
          <xm:sqref>N23:N92 N7:N19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CP56"/>
  <sheetViews>
    <sheetView showGridLines="0" zoomScale="90" zoomScaleNormal="90" workbookViewId="0">
      <pane xSplit="14" ySplit="5" topLeftCell="O6" activePane="bottomRight" state="frozen"/>
      <selection activeCell="B37" sqref="B37:L37"/>
      <selection pane="topRight" activeCell="B37" sqref="B37:L37"/>
      <selection pane="bottomLeft" activeCell="B37" sqref="B37:L37"/>
      <selection pane="bottomRight" activeCell="W53" sqref="W53"/>
    </sheetView>
  </sheetViews>
  <sheetFormatPr defaultRowHeight="15" outlineLevelCol="1" x14ac:dyDescent="0.25"/>
  <cols>
    <col min="1" max="1" width="3.7109375" style="3" bestFit="1" customWidth="1"/>
    <col min="2" max="2" width="12.85546875" style="3" bestFit="1" customWidth="1"/>
    <col min="3" max="3" width="5.140625" style="3" bestFit="1" customWidth="1" outlineLevel="1"/>
    <col min="4" max="4" width="4.85546875" style="3" hidden="1" customWidth="1" outlineLevel="1"/>
    <col min="5" max="5" width="4" style="3" hidden="1" customWidth="1" outlineLevel="1"/>
    <col min="6" max="6" width="15.7109375" hidden="1" customWidth="1" outlineLevel="1"/>
    <col min="7" max="7" width="41.28515625" bestFit="1" customWidth="1"/>
    <col min="8" max="8" width="11.85546875" hidden="1" customWidth="1" outlineLevel="1"/>
    <col min="9" max="10" width="11.5703125" hidden="1" customWidth="1" outlineLevel="1"/>
    <col min="11" max="11" width="11.85546875" hidden="1" customWidth="1" outlineLevel="1"/>
    <col min="12" max="12" width="10.7109375" bestFit="1" customWidth="1" collapsed="1"/>
    <col min="13" max="13" width="2.85546875" customWidth="1"/>
    <col min="14" max="14" width="26.85546875" customWidth="1"/>
    <col min="15" max="15" width="3.28515625" customWidth="1"/>
    <col min="16" max="16" width="6.28515625" bestFit="1" customWidth="1"/>
    <col min="17" max="17" width="12.5703125" bestFit="1" customWidth="1"/>
    <col min="18" max="18" width="5.28515625" bestFit="1" customWidth="1"/>
    <col min="19" max="19" width="8.28515625" bestFit="1" customWidth="1"/>
    <col min="20" max="20" width="8.28515625" customWidth="1"/>
    <col min="21" max="21" width="3.28515625" style="11" customWidth="1"/>
    <col min="22" max="22" width="6.28515625" bestFit="1" customWidth="1"/>
    <col min="23" max="23" width="12.5703125" style="60" bestFit="1" customWidth="1"/>
    <col min="24" max="24" width="5.28515625" bestFit="1" customWidth="1"/>
    <col min="25" max="25" width="8.28515625" bestFit="1" customWidth="1"/>
    <col min="26" max="26" width="10.7109375" style="60" bestFit="1" customWidth="1"/>
    <col min="27" max="27" width="7.140625" customWidth="1"/>
    <col min="28" max="28" width="7.5703125" bestFit="1" customWidth="1"/>
    <col min="29" max="29" width="6.28515625" bestFit="1" customWidth="1"/>
    <col min="30" max="30" width="12.5703125" bestFit="1" customWidth="1"/>
    <col min="31" max="31" width="5.28515625" customWidth="1"/>
    <col min="32" max="32" width="8.28515625" bestFit="1" customWidth="1"/>
    <col min="33" max="33" width="9.28515625" bestFit="1" customWidth="1"/>
    <col min="34" max="34" width="1.7109375" customWidth="1"/>
    <col min="35" max="35" width="6.28515625" bestFit="1" customWidth="1"/>
    <col min="36" max="36" width="12.5703125" bestFit="1" customWidth="1"/>
    <col min="37" max="37" width="5.28515625" bestFit="1" customWidth="1"/>
    <col min="38" max="38" width="8.28515625" bestFit="1" customWidth="1"/>
    <col min="39" max="39" width="9.28515625" bestFit="1" customWidth="1"/>
    <col min="40" max="40" width="1.7109375" style="11" customWidth="1"/>
    <col min="41" max="41" width="6.28515625" bestFit="1" customWidth="1"/>
    <col min="42" max="42" width="12.5703125" bestFit="1" customWidth="1"/>
    <col min="43" max="43" width="5.28515625" bestFit="1" customWidth="1"/>
    <col min="44" max="44" width="8.28515625" bestFit="1" customWidth="1"/>
    <col min="45" max="45" width="9.28515625" bestFit="1" customWidth="1"/>
    <col min="46" max="46" width="1.7109375" style="11" customWidth="1"/>
    <col min="47" max="47" width="6.28515625" bestFit="1" customWidth="1"/>
    <col min="48" max="48" width="12.5703125" bestFit="1" customWidth="1"/>
    <col min="49" max="49" width="5.28515625" bestFit="1" customWidth="1"/>
    <col min="50" max="50" width="8.28515625" bestFit="1" customWidth="1"/>
    <col min="51" max="51" width="9.28515625" bestFit="1" customWidth="1"/>
    <col min="52" max="52" width="1.7109375" style="11" customWidth="1"/>
    <col min="53" max="53" width="6.28515625" bestFit="1" customWidth="1"/>
    <col min="54" max="54" width="12.5703125" bestFit="1" customWidth="1"/>
    <col min="55" max="55" width="5.28515625" bestFit="1" customWidth="1"/>
    <col min="56" max="56" width="8.28515625" bestFit="1" customWidth="1"/>
    <col min="57" max="57" width="9.28515625" bestFit="1" customWidth="1"/>
    <col min="58" max="58" width="1.7109375" style="11" customWidth="1"/>
    <col min="59" max="61" width="8.85546875" hidden="1" customWidth="1"/>
    <col min="62" max="62" width="9.140625" hidden="1" customWidth="1"/>
    <col min="63" max="63" width="10.140625" hidden="1" customWidth="1"/>
    <col min="64" max="64" width="3.5703125" style="11" hidden="1" customWidth="1"/>
    <col min="65" max="67" width="8.85546875" hidden="1" customWidth="1"/>
    <col min="68" max="68" width="9.140625" hidden="1" customWidth="1"/>
    <col min="69" max="69" width="10.140625" hidden="1" customWidth="1"/>
    <col min="70" max="70" width="3.28515625" style="11" hidden="1" customWidth="1"/>
    <col min="71" max="71" width="6.28515625" bestFit="1" customWidth="1"/>
    <col min="72" max="72" width="12.5703125" bestFit="1" customWidth="1"/>
    <col min="73" max="73" width="5.28515625" bestFit="1" customWidth="1"/>
    <col min="74" max="74" width="8.28515625" bestFit="1" customWidth="1"/>
    <col min="75" max="75" width="9.28515625" bestFit="1" customWidth="1"/>
    <col min="76" max="76" width="3.42578125" style="11" hidden="1" customWidth="1"/>
    <col min="77" max="80" width="0" hidden="1" customWidth="1"/>
    <col min="81" max="81" width="9.140625" hidden="1" customWidth="1"/>
    <col min="82" max="82" width="3.42578125" style="11" hidden="1" customWidth="1"/>
    <col min="83" max="87" width="0" hidden="1" customWidth="1"/>
    <col min="88" max="88" width="4" style="11" hidden="1" customWidth="1"/>
    <col min="89" max="93" width="0" hidden="1" customWidth="1"/>
    <col min="94" max="94" width="1.7109375" customWidth="1"/>
  </cols>
  <sheetData>
    <row r="1" spans="1:94" ht="23.25" customHeight="1" x14ac:dyDescent="0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W1"/>
      <c r="Z1" s="47"/>
      <c r="AH1" s="43"/>
    </row>
    <row r="2" spans="1:94" ht="23.25" customHeight="1" x14ac:dyDescent="0.25">
      <c r="A2" s="752" t="s">
        <v>261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W2"/>
      <c r="Z2" s="47"/>
      <c r="AH2" s="43"/>
      <c r="AJ2" s="85"/>
      <c r="BA2" s="85"/>
      <c r="BB2" s="85"/>
      <c r="BC2" s="85"/>
      <c r="BD2" s="85"/>
      <c r="BE2" s="85"/>
    </row>
    <row r="3" spans="1:94" ht="7.5" customHeight="1" x14ac:dyDescent="0.25">
      <c r="A3" s="158"/>
      <c r="B3" s="158"/>
      <c r="C3" s="158"/>
      <c r="D3" s="158"/>
      <c r="E3" s="158"/>
      <c r="F3" s="158"/>
      <c r="G3" s="158"/>
      <c r="H3" s="1"/>
      <c r="I3" s="1"/>
      <c r="J3" s="1"/>
      <c r="K3" s="1"/>
      <c r="L3" s="1"/>
      <c r="N3" s="2"/>
      <c r="W3"/>
      <c r="Z3" s="47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1"/>
      <c r="BA3" s="300"/>
      <c r="BB3" s="300"/>
      <c r="BC3" s="300"/>
      <c r="BD3" s="300"/>
      <c r="BE3" s="300"/>
      <c r="BF3" s="300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0"/>
      <c r="BT3" s="300"/>
      <c r="BU3" s="300"/>
      <c r="BV3" s="300"/>
      <c r="BW3" s="300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</row>
    <row r="4" spans="1:94" ht="24" thickBot="1" x14ac:dyDescent="0.3">
      <c r="H4" s="1"/>
      <c r="I4" s="1"/>
      <c r="J4" s="1"/>
      <c r="K4" s="1"/>
      <c r="L4" s="1"/>
      <c r="N4" s="2"/>
      <c r="P4" s="759" t="s">
        <v>2</v>
      </c>
      <c r="Q4" s="759"/>
      <c r="R4" s="759"/>
      <c r="S4" s="759"/>
      <c r="T4" s="759"/>
      <c r="V4" s="759" t="s">
        <v>184</v>
      </c>
      <c r="W4" s="759"/>
      <c r="X4" s="759"/>
      <c r="Y4" s="759"/>
      <c r="Z4" s="759"/>
      <c r="AB4" s="759" t="s">
        <v>186</v>
      </c>
      <c r="AC4" s="759"/>
      <c r="AD4" s="759"/>
      <c r="AE4" s="759"/>
      <c r="AF4" s="759"/>
      <c r="AG4" s="759"/>
      <c r="AH4" s="300"/>
      <c r="AI4" s="762" t="s">
        <v>162</v>
      </c>
      <c r="AJ4" s="762"/>
      <c r="AK4" s="762"/>
      <c r="AL4" s="762"/>
      <c r="AM4" s="762"/>
      <c r="AN4" s="331"/>
      <c r="AO4" s="762" t="s">
        <v>163</v>
      </c>
      <c r="AP4" s="762"/>
      <c r="AQ4" s="762"/>
      <c r="AR4" s="762"/>
      <c r="AS4" s="762"/>
      <c r="AT4" s="331"/>
      <c r="AU4" s="762" t="s">
        <v>164</v>
      </c>
      <c r="AV4" s="762"/>
      <c r="AW4" s="762"/>
      <c r="AX4" s="762"/>
      <c r="AY4" s="762"/>
      <c r="AZ4" s="331"/>
      <c r="BA4" s="762" t="s">
        <v>165</v>
      </c>
      <c r="BB4" s="762"/>
      <c r="BC4" s="762"/>
      <c r="BD4" s="762"/>
      <c r="BE4" s="762"/>
      <c r="BF4" s="331"/>
      <c r="BG4" s="759" t="s">
        <v>171</v>
      </c>
      <c r="BH4" s="759"/>
      <c r="BI4" s="759"/>
      <c r="BJ4" s="759"/>
      <c r="BK4" s="759"/>
      <c r="BL4" s="4"/>
      <c r="BM4" s="759" t="s">
        <v>173</v>
      </c>
      <c r="BN4" s="759"/>
      <c r="BO4" s="759"/>
      <c r="BP4" s="759"/>
      <c r="BQ4" s="759"/>
      <c r="BR4" s="4"/>
      <c r="BS4" s="762" t="s">
        <v>175</v>
      </c>
      <c r="BT4" s="762"/>
      <c r="BU4" s="762"/>
      <c r="BV4" s="762"/>
      <c r="BW4" s="762"/>
      <c r="BX4" s="4"/>
      <c r="BY4" s="759" t="s">
        <v>177</v>
      </c>
      <c r="BZ4" s="759"/>
      <c r="CA4" s="759"/>
      <c r="CB4" s="759"/>
      <c r="CC4" s="759"/>
      <c r="CD4" s="4"/>
      <c r="CE4" s="759" t="s">
        <v>178</v>
      </c>
      <c r="CF4" s="759"/>
      <c r="CG4" s="759"/>
      <c r="CH4" s="759"/>
      <c r="CI4" s="759"/>
      <c r="CJ4" s="4"/>
      <c r="CK4" s="759" t="s">
        <v>181</v>
      </c>
      <c r="CL4" s="759"/>
      <c r="CM4" s="759"/>
      <c r="CN4" s="759"/>
      <c r="CO4" s="759"/>
      <c r="CP4" s="300"/>
    </row>
    <row r="5" spans="1:94" s="12" customFormat="1" ht="16.5" thickTop="1" thickBot="1" x14ac:dyDescent="0.3">
      <c r="A5" s="32" t="s">
        <v>36</v>
      </c>
      <c r="B5" s="32" t="s">
        <v>37</v>
      </c>
      <c r="C5" s="32" t="s">
        <v>38</v>
      </c>
      <c r="D5" s="32" t="s">
        <v>39</v>
      </c>
      <c r="E5" s="32" t="s">
        <v>40</v>
      </c>
      <c r="F5" s="32" t="s">
        <v>41</v>
      </c>
      <c r="G5" s="32" t="s">
        <v>42</v>
      </c>
      <c r="H5" s="214">
        <v>43101</v>
      </c>
      <c r="I5" s="214">
        <v>43191</v>
      </c>
      <c r="J5" s="214">
        <v>43282</v>
      </c>
      <c r="K5" s="214">
        <v>43374</v>
      </c>
      <c r="L5" s="32" t="s">
        <v>43</v>
      </c>
      <c r="N5" s="322" t="s">
        <v>694</v>
      </c>
      <c r="O5" s="215"/>
      <c r="P5" s="221" t="s">
        <v>729</v>
      </c>
      <c r="Q5" s="216" t="s">
        <v>728</v>
      </c>
      <c r="R5" s="221" t="s">
        <v>32</v>
      </c>
      <c r="S5" s="224" t="s">
        <v>6</v>
      </c>
      <c r="T5" s="217" t="s">
        <v>701</v>
      </c>
      <c r="U5" s="220"/>
      <c r="V5" s="221" t="s">
        <v>729</v>
      </c>
      <c r="W5" s="216" t="s">
        <v>728</v>
      </c>
      <c r="X5" s="221" t="s">
        <v>32</v>
      </c>
      <c r="Y5" s="224" t="s">
        <v>6</v>
      </c>
      <c r="Z5" s="217" t="s">
        <v>701</v>
      </c>
      <c r="AA5" s="218" t="s">
        <v>185</v>
      </c>
      <c r="AB5" s="215"/>
      <c r="AC5" s="221" t="s">
        <v>4</v>
      </c>
      <c r="AD5" s="216" t="s">
        <v>728</v>
      </c>
      <c r="AE5" s="221" t="s">
        <v>32</v>
      </c>
      <c r="AF5" s="224" t="s">
        <v>6</v>
      </c>
      <c r="AG5" s="217" t="s">
        <v>701</v>
      </c>
      <c r="AH5" s="308"/>
      <c r="AI5" s="221" t="s">
        <v>729</v>
      </c>
      <c r="AJ5" s="216" t="s">
        <v>728</v>
      </c>
      <c r="AK5" s="221" t="s">
        <v>32</v>
      </c>
      <c r="AL5" s="224" t="s">
        <v>6</v>
      </c>
      <c r="AM5" s="217" t="s">
        <v>701</v>
      </c>
      <c r="AN5" s="308"/>
      <c r="AO5" s="221" t="s">
        <v>729</v>
      </c>
      <c r="AP5" s="216" t="s">
        <v>728</v>
      </c>
      <c r="AQ5" s="221" t="s">
        <v>32</v>
      </c>
      <c r="AR5" s="224" t="s">
        <v>6</v>
      </c>
      <c r="AS5" s="217" t="s">
        <v>701</v>
      </c>
      <c r="AT5" s="308"/>
      <c r="AU5" s="221" t="s">
        <v>729</v>
      </c>
      <c r="AV5" s="216" t="s">
        <v>728</v>
      </c>
      <c r="AW5" s="221" t="s">
        <v>32</v>
      </c>
      <c r="AX5" s="224" t="s">
        <v>6</v>
      </c>
      <c r="AY5" s="217" t="s">
        <v>701</v>
      </c>
      <c r="AZ5" s="308"/>
      <c r="BA5" s="221" t="s">
        <v>729</v>
      </c>
      <c r="BB5" s="216" t="s">
        <v>728</v>
      </c>
      <c r="BC5" s="221" t="s">
        <v>32</v>
      </c>
      <c r="BD5" s="224" t="s">
        <v>6</v>
      </c>
      <c r="BE5" s="217" t="s">
        <v>701</v>
      </c>
      <c r="BF5" s="308"/>
      <c r="BG5" s="216" t="s">
        <v>4</v>
      </c>
      <c r="BH5" s="216" t="s">
        <v>3</v>
      </c>
      <c r="BI5" s="216" t="s">
        <v>32</v>
      </c>
      <c r="BJ5" s="217" t="s">
        <v>6</v>
      </c>
      <c r="BK5" s="217" t="s">
        <v>5</v>
      </c>
      <c r="BL5" s="220"/>
      <c r="BM5" s="216" t="s">
        <v>4</v>
      </c>
      <c r="BN5" s="216" t="s">
        <v>3</v>
      </c>
      <c r="BO5" s="216" t="s">
        <v>32</v>
      </c>
      <c r="BP5" s="217" t="s">
        <v>6</v>
      </c>
      <c r="BQ5" s="217" t="s">
        <v>5</v>
      </c>
      <c r="BR5" s="220"/>
      <c r="BS5" s="221" t="s">
        <v>729</v>
      </c>
      <c r="BT5" s="216" t="s">
        <v>728</v>
      </c>
      <c r="BU5" s="221" t="s">
        <v>32</v>
      </c>
      <c r="BV5" s="224" t="s">
        <v>6</v>
      </c>
      <c r="BW5" s="217" t="s">
        <v>701</v>
      </c>
      <c r="BX5" s="220"/>
      <c r="BY5" s="216" t="s">
        <v>4</v>
      </c>
      <c r="BZ5" s="216" t="s">
        <v>3</v>
      </c>
      <c r="CA5" s="216" t="s">
        <v>32</v>
      </c>
      <c r="CB5" s="217" t="s">
        <v>6</v>
      </c>
      <c r="CC5" s="217" t="s">
        <v>5</v>
      </c>
      <c r="CD5" s="220"/>
      <c r="CE5" s="216" t="s">
        <v>4</v>
      </c>
      <c r="CF5" s="216" t="s">
        <v>3</v>
      </c>
      <c r="CG5" s="216" t="s">
        <v>32</v>
      </c>
      <c r="CH5" s="217" t="s">
        <v>6</v>
      </c>
      <c r="CI5" s="217" t="s">
        <v>5</v>
      </c>
      <c r="CJ5" s="220"/>
      <c r="CK5" s="216" t="s">
        <v>4</v>
      </c>
      <c r="CL5" s="216" t="s">
        <v>3</v>
      </c>
      <c r="CM5" s="216" t="s">
        <v>32</v>
      </c>
      <c r="CN5" s="217" t="s">
        <v>6</v>
      </c>
      <c r="CO5" s="217" t="s">
        <v>5</v>
      </c>
      <c r="CP5" s="331"/>
    </row>
    <row r="6" spans="1:94" ht="15.75" thickBot="1" x14ac:dyDescent="0.3">
      <c r="A6" s="761" t="s">
        <v>44</v>
      </c>
      <c r="B6" s="761"/>
      <c r="C6" s="761"/>
      <c r="D6" s="761"/>
      <c r="E6" s="761"/>
      <c r="F6" s="761"/>
      <c r="G6" s="761"/>
      <c r="H6" s="15"/>
      <c r="I6" s="15"/>
      <c r="J6" s="15"/>
      <c r="K6" s="15"/>
      <c r="L6" s="33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49"/>
      <c r="AA6" s="30"/>
      <c r="AB6" s="30"/>
      <c r="AC6" s="30"/>
      <c r="AD6" s="30"/>
      <c r="AE6" s="30"/>
      <c r="AF6" s="30"/>
      <c r="AG6" s="30"/>
      <c r="AH6" s="309"/>
      <c r="AI6" s="157"/>
      <c r="AJ6" s="157"/>
      <c r="AK6" s="157"/>
      <c r="AL6" s="157"/>
      <c r="AM6" s="157"/>
      <c r="AN6" s="309"/>
      <c r="AO6" s="157"/>
      <c r="AP6" s="157"/>
      <c r="AQ6" s="157"/>
      <c r="AR6" s="157"/>
      <c r="AS6" s="157"/>
      <c r="AT6" s="309"/>
      <c r="AU6" s="157"/>
      <c r="AV6" s="157"/>
      <c r="AW6" s="157"/>
      <c r="AX6" s="157"/>
      <c r="AY6" s="157"/>
      <c r="AZ6" s="309"/>
      <c r="BA6" s="157"/>
      <c r="BB6" s="157"/>
      <c r="BC6" s="157"/>
      <c r="BD6" s="157"/>
      <c r="BE6" s="157"/>
      <c r="BF6" s="309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0"/>
    </row>
    <row r="7" spans="1:94" x14ac:dyDescent="0.25">
      <c r="A7" s="3" t="s">
        <v>188</v>
      </c>
      <c r="B7" s="3" t="s">
        <v>46</v>
      </c>
      <c r="C7" s="3" t="s">
        <v>47</v>
      </c>
      <c r="D7" s="3" t="s">
        <v>189</v>
      </c>
      <c r="E7" s="3" t="s">
        <v>48</v>
      </c>
      <c r="F7" s="6" t="s">
        <v>190</v>
      </c>
      <c r="G7" t="s">
        <v>49</v>
      </c>
      <c r="H7" s="60">
        <f>$L7/4</f>
        <v>2811.25</v>
      </c>
      <c r="I7" s="60">
        <f t="shared" ref="I7:K32" si="0">$L7/4</f>
        <v>2811.25</v>
      </c>
      <c r="J7" s="60">
        <f>$L7/4</f>
        <v>2811.25</v>
      </c>
      <c r="K7" s="60">
        <f>$L7/4</f>
        <v>2811.25</v>
      </c>
      <c r="L7" s="705">
        <v>11245</v>
      </c>
      <c r="N7" s="206" t="s">
        <v>541</v>
      </c>
      <c r="P7" s="66"/>
      <c r="Q7" s="195">
        <f>INDEX('Apportionment Bases'!T$6:T$33,MATCH('PC5'!$N7,'Apportionment Bases'!$A$6:$A$33,0))</f>
        <v>0</v>
      </c>
      <c r="R7" s="195">
        <f>INDEX('Apportionment Bases'!U$6:U$33,MATCH('PC5'!$N7,'Apportionment Bases'!$A$6:$A$33,0))</f>
        <v>0</v>
      </c>
      <c r="S7" s="199"/>
      <c r="T7" s="195">
        <f>INDEX('Apportionment Bases'!W$6:W$33,MATCH('PC5'!$N7,'Apportionment Bases'!$A$6:$A$33,0))</f>
        <v>1</v>
      </c>
      <c r="V7" s="66"/>
      <c r="W7" s="72">
        <f>Q7*L7</f>
        <v>0</v>
      </c>
      <c r="X7" s="66"/>
      <c r="Y7" s="66"/>
      <c r="Z7" s="72">
        <f>T7*L7</f>
        <v>11245</v>
      </c>
      <c r="AA7" s="266" t="str">
        <f>IF(SUM(V7:Z7)=L7,"TRUE","FALSE")</f>
        <v>TRUE</v>
      </c>
      <c r="AB7" s="59" t="s">
        <v>162</v>
      </c>
      <c r="AC7" s="66"/>
      <c r="AD7" s="177">
        <v>0.2001</v>
      </c>
      <c r="AE7" s="234"/>
      <c r="AF7" s="234"/>
      <c r="AG7" s="177">
        <v>0.1108</v>
      </c>
      <c r="AH7" s="301"/>
      <c r="AI7" s="79"/>
      <c r="AJ7" s="80">
        <f>$AD$7*W7</f>
        <v>0</v>
      </c>
      <c r="AK7" s="81"/>
      <c r="AL7" s="81"/>
      <c r="AM7" s="82">
        <f>$AG$7*Z7</f>
        <v>1245.9459999999999</v>
      </c>
      <c r="AN7" s="301"/>
      <c r="AO7" s="79"/>
      <c r="AP7" s="80">
        <f>$AD$8*W7</f>
        <v>0</v>
      </c>
      <c r="AQ7" s="81"/>
      <c r="AR7" s="81"/>
      <c r="AS7" s="82">
        <f>$AG$8*Z7</f>
        <v>1744.0994999999998</v>
      </c>
      <c r="AT7" s="301"/>
      <c r="AU7" s="79"/>
      <c r="AV7" s="80">
        <f>$AD$9*W7</f>
        <v>0</v>
      </c>
      <c r="AW7" s="81"/>
      <c r="AX7" s="81"/>
      <c r="AY7" s="82">
        <f>$AG$9*Z7</f>
        <v>1402.2515000000001</v>
      </c>
      <c r="AZ7" s="301"/>
      <c r="BA7" s="79"/>
      <c r="BB7" s="80">
        <f>$AD$10*W7</f>
        <v>0</v>
      </c>
      <c r="BC7" s="81"/>
      <c r="BD7" s="81"/>
      <c r="BE7" s="82">
        <f>$AG$10*Z7</f>
        <v>4983.7839999999997</v>
      </c>
      <c r="BF7" s="301"/>
      <c r="BS7" s="79"/>
      <c r="BT7" s="80">
        <f t="shared" ref="BT7:BT17" si="1">$AD$11*W7</f>
        <v>0</v>
      </c>
      <c r="BU7" s="81"/>
      <c r="BV7" s="81"/>
      <c r="BW7" s="82">
        <f t="shared" ref="BW7:BW17" si="2">$AG$11*Z7</f>
        <v>1868.9189999999999</v>
      </c>
      <c r="CP7" s="301"/>
    </row>
    <row r="8" spans="1:94" x14ac:dyDescent="0.25">
      <c r="A8" s="3" t="s">
        <v>188</v>
      </c>
      <c r="B8" s="3" t="s">
        <v>46</v>
      </c>
      <c r="C8" s="3" t="s">
        <v>45</v>
      </c>
      <c r="D8" s="3" t="s">
        <v>48</v>
      </c>
      <c r="E8" s="3" t="s">
        <v>48</v>
      </c>
      <c r="F8" s="6" t="s">
        <v>191</v>
      </c>
      <c r="G8" t="s">
        <v>49</v>
      </c>
      <c r="H8" s="60">
        <f t="shared" ref="H8:K50" si="3">$L8/4</f>
        <v>22621</v>
      </c>
      <c r="I8" s="60">
        <f t="shared" si="0"/>
        <v>22621</v>
      </c>
      <c r="J8" s="60">
        <f t="shared" si="0"/>
        <v>22621</v>
      </c>
      <c r="K8" s="60">
        <f t="shared" si="0"/>
        <v>22621</v>
      </c>
      <c r="L8" s="705">
        <v>90484</v>
      </c>
      <c r="N8" s="206" t="s">
        <v>541</v>
      </c>
      <c r="P8" s="66"/>
      <c r="Q8" s="195">
        <f>INDEX('Apportionment Bases'!T$6:T$33,MATCH('PC5'!$N8,'Apportionment Bases'!$A$6:$A$33,0))</f>
        <v>0</v>
      </c>
      <c r="R8" s="195">
        <f>INDEX('Apportionment Bases'!U$6:U$33,MATCH('PC5'!$N8,'Apportionment Bases'!$A$6:$A$33,0))</f>
        <v>0</v>
      </c>
      <c r="S8" s="199"/>
      <c r="T8" s="195">
        <f>INDEX('Apportionment Bases'!W$6:W$33,MATCH('PC5'!$N8,'Apportionment Bases'!$A$6:$A$33,0))</f>
        <v>1</v>
      </c>
      <c r="V8" s="66"/>
      <c r="W8" s="72">
        <f t="shared" ref="W8:W17" si="4">Q8*L8</f>
        <v>0</v>
      </c>
      <c r="X8" s="66"/>
      <c r="Y8" s="66"/>
      <c r="Z8" s="72">
        <f t="shared" ref="Z8:Z17" si="5">T8*L8</f>
        <v>90484</v>
      </c>
      <c r="AA8" s="266" t="str">
        <f t="shared" ref="AA8:AA17" si="6">IF(SUM(V8:Z8)=L8,"TRUE","FALSE")</f>
        <v>TRUE</v>
      </c>
      <c r="AB8" s="59" t="s">
        <v>163</v>
      </c>
      <c r="AC8" s="66"/>
      <c r="AD8" s="177">
        <v>0.1716</v>
      </c>
      <c r="AE8" s="234"/>
      <c r="AF8" s="234"/>
      <c r="AG8" s="177">
        <v>0.15509999999999999</v>
      </c>
      <c r="AH8" s="301"/>
      <c r="AI8" s="79"/>
      <c r="AJ8" s="80">
        <f t="shared" ref="AJ8:AJ17" si="7">$AD$7*W8</f>
        <v>0</v>
      </c>
      <c r="AK8" s="81"/>
      <c r="AL8" s="81"/>
      <c r="AM8" s="82">
        <f t="shared" ref="AM8:AM17" si="8">$AG$7*Z8</f>
        <v>10025.627199999999</v>
      </c>
      <c r="AN8" s="301"/>
      <c r="AO8" s="79"/>
      <c r="AP8" s="80">
        <f>$AD$8*W8</f>
        <v>0</v>
      </c>
      <c r="AQ8" s="81"/>
      <c r="AR8" s="81"/>
      <c r="AS8" s="82">
        <f t="shared" ref="AS8:AS17" si="9">$AG$8*Z8</f>
        <v>14034.068399999998</v>
      </c>
      <c r="AT8" s="301"/>
      <c r="AU8" s="79"/>
      <c r="AV8" s="80">
        <f t="shared" ref="AV8:AV17" si="10">$AD$9*W8</f>
        <v>0</v>
      </c>
      <c r="AW8" s="81"/>
      <c r="AX8" s="81"/>
      <c r="AY8" s="82">
        <f t="shared" ref="AY8:AY17" si="11">$AG$9*Z8</f>
        <v>11283.354800000001</v>
      </c>
      <c r="AZ8" s="301"/>
      <c r="BA8" s="79"/>
      <c r="BB8" s="80">
        <f t="shared" ref="BB8:BB16" si="12">$AD$10*W8</f>
        <v>0</v>
      </c>
      <c r="BC8" s="81"/>
      <c r="BD8" s="81"/>
      <c r="BE8" s="82">
        <f>$AG$10*Z8</f>
        <v>40102.508799999996</v>
      </c>
      <c r="BF8" s="301"/>
      <c r="BS8" s="79"/>
      <c r="BT8" s="80">
        <f t="shared" si="1"/>
        <v>0</v>
      </c>
      <c r="BU8" s="81"/>
      <c r="BV8" s="81"/>
      <c r="BW8" s="82">
        <f t="shared" si="2"/>
        <v>15038.440799999998</v>
      </c>
      <c r="CP8" s="301"/>
    </row>
    <row r="9" spans="1:94" x14ac:dyDescent="0.25">
      <c r="A9" s="110" t="s">
        <v>188</v>
      </c>
      <c r="B9" s="110" t="s">
        <v>50</v>
      </c>
      <c r="C9" s="110" t="s">
        <v>47</v>
      </c>
      <c r="D9" s="110" t="s">
        <v>189</v>
      </c>
      <c r="E9" s="110" t="s">
        <v>48</v>
      </c>
      <c r="F9" s="414" t="s">
        <v>192</v>
      </c>
      <c r="G9" s="62" t="s">
        <v>51</v>
      </c>
      <c r="H9" s="63">
        <f t="shared" si="3"/>
        <v>92.5</v>
      </c>
      <c r="I9" s="63">
        <f t="shared" si="0"/>
        <v>92.5</v>
      </c>
      <c r="J9" s="63">
        <f t="shared" si="0"/>
        <v>92.5</v>
      </c>
      <c r="K9" s="63">
        <f t="shared" si="0"/>
        <v>92.5</v>
      </c>
      <c r="L9" s="705">
        <v>370</v>
      </c>
      <c r="M9" s="62"/>
      <c r="N9" s="206" t="s">
        <v>541</v>
      </c>
      <c r="P9" s="66"/>
      <c r="Q9" s="195">
        <f>INDEX('Apportionment Bases'!T$6:T$33,MATCH('PC5'!$N9,'Apportionment Bases'!$A$6:$A$33,0))</f>
        <v>0</v>
      </c>
      <c r="R9" s="195">
        <f>INDEX('Apportionment Bases'!U$6:U$33,MATCH('PC5'!$N9,'Apportionment Bases'!$A$6:$A$33,0))</f>
        <v>0</v>
      </c>
      <c r="S9" s="199"/>
      <c r="T9" s="195">
        <f>INDEX('Apportionment Bases'!W$6:W$33,MATCH('PC5'!$N9,'Apportionment Bases'!$A$6:$A$33,0))</f>
        <v>1</v>
      </c>
      <c r="V9" s="66"/>
      <c r="W9" s="72">
        <f t="shared" si="4"/>
        <v>0</v>
      </c>
      <c r="X9" s="66"/>
      <c r="Y9" s="66"/>
      <c r="Z9" s="72">
        <f t="shared" si="5"/>
        <v>370</v>
      </c>
      <c r="AA9" s="266" t="str">
        <f t="shared" si="6"/>
        <v>TRUE</v>
      </c>
      <c r="AB9" s="59" t="s">
        <v>164</v>
      </c>
      <c r="AC9" s="66"/>
      <c r="AD9" s="177">
        <v>0.14829999999999999</v>
      </c>
      <c r="AE9" s="234"/>
      <c r="AF9" s="234"/>
      <c r="AG9" s="177">
        <v>0.12470000000000001</v>
      </c>
      <c r="AH9" s="301"/>
      <c r="AI9" s="79"/>
      <c r="AJ9" s="80">
        <f t="shared" si="7"/>
        <v>0</v>
      </c>
      <c r="AK9" s="81"/>
      <c r="AL9" s="81"/>
      <c r="AM9" s="82">
        <f t="shared" si="8"/>
        <v>40.995999999999995</v>
      </c>
      <c r="AN9" s="301"/>
      <c r="AO9" s="79"/>
      <c r="AP9" s="80">
        <f t="shared" ref="AP9:AP17" si="13">$AD$8*W9</f>
        <v>0</v>
      </c>
      <c r="AQ9" s="81"/>
      <c r="AR9" s="81"/>
      <c r="AS9" s="82">
        <f t="shared" si="9"/>
        <v>57.386999999999993</v>
      </c>
      <c r="AT9" s="301"/>
      <c r="AU9" s="79"/>
      <c r="AV9" s="80">
        <f t="shared" si="10"/>
        <v>0</v>
      </c>
      <c r="AW9" s="81"/>
      <c r="AX9" s="81"/>
      <c r="AY9" s="82">
        <f t="shared" si="11"/>
        <v>46.139000000000003</v>
      </c>
      <c r="AZ9" s="301"/>
      <c r="BA9" s="79"/>
      <c r="BB9" s="80">
        <f t="shared" si="12"/>
        <v>0</v>
      </c>
      <c r="BC9" s="81"/>
      <c r="BD9" s="81"/>
      <c r="BE9" s="82">
        <f t="shared" ref="BE9:BE17" si="14">$AG$10*Z9</f>
        <v>163.98399999999998</v>
      </c>
      <c r="BF9" s="301"/>
      <c r="BS9" s="79"/>
      <c r="BT9" s="80">
        <f t="shared" si="1"/>
        <v>0</v>
      </c>
      <c r="BU9" s="81"/>
      <c r="BV9" s="81"/>
      <c r="BW9" s="82">
        <f t="shared" si="2"/>
        <v>61.493999999999993</v>
      </c>
      <c r="CP9" s="301"/>
    </row>
    <row r="10" spans="1:94" x14ac:dyDescent="0.25">
      <c r="A10" s="110" t="s">
        <v>188</v>
      </c>
      <c r="B10" s="110" t="s">
        <v>50</v>
      </c>
      <c r="C10" s="110" t="s">
        <v>45</v>
      </c>
      <c r="D10" s="110" t="s">
        <v>48</v>
      </c>
      <c r="E10" s="110" t="s">
        <v>48</v>
      </c>
      <c r="F10" s="414" t="s">
        <v>193</v>
      </c>
      <c r="G10" s="62" t="s">
        <v>51</v>
      </c>
      <c r="H10" s="63">
        <f t="shared" si="3"/>
        <v>25</v>
      </c>
      <c r="I10" s="63">
        <f t="shared" si="0"/>
        <v>25</v>
      </c>
      <c r="J10" s="63">
        <f t="shared" si="0"/>
        <v>25</v>
      </c>
      <c r="K10" s="63">
        <f t="shared" si="0"/>
        <v>25</v>
      </c>
      <c r="L10" s="705">
        <v>100</v>
      </c>
      <c r="M10" s="62"/>
      <c r="N10" s="206" t="s">
        <v>541</v>
      </c>
      <c r="P10" s="66"/>
      <c r="Q10" s="195">
        <f>INDEX('Apportionment Bases'!T$6:T$33,MATCH('PC5'!$N10,'Apportionment Bases'!$A$6:$A$33,0))</f>
        <v>0</v>
      </c>
      <c r="R10" s="195">
        <f>INDEX('Apportionment Bases'!U$6:U$33,MATCH('PC5'!$N10,'Apportionment Bases'!$A$6:$A$33,0))</f>
        <v>0</v>
      </c>
      <c r="S10" s="199"/>
      <c r="T10" s="195">
        <f>INDEX('Apportionment Bases'!W$6:W$33,MATCH('PC5'!$N10,'Apportionment Bases'!$A$6:$A$33,0))</f>
        <v>1</v>
      </c>
      <c r="V10" s="66"/>
      <c r="W10" s="72">
        <f t="shared" si="4"/>
        <v>0</v>
      </c>
      <c r="X10" s="66"/>
      <c r="Y10" s="66"/>
      <c r="Z10" s="72">
        <f t="shared" si="5"/>
        <v>100</v>
      </c>
      <c r="AA10" s="266" t="str">
        <f t="shared" si="6"/>
        <v>TRUE</v>
      </c>
      <c r="AB10" s="59" t="s">
        <v>165</v>
      </c>
      <c r="AC10" s="66"/>
      <c r="AD10" s="177">
        <v>0.26429999999999998</v>
      </c>
      <c r="AE10" s="234"/>
      <c r="AF10" s="234"/>
      <c r="AG10" s="177">
        <v>0.44319999999999998</v>
      </c>
      <c r="AH10" s="301"/>
      <c r="AI10" s="79"/>
      <c r="AJ10" s="80">
        <f t="shared" si="7"/>
        <v>0</v>
      </c>
      <c r="AK10" s="81"/>
      <c r="AL10" s="81"/>
      <c r="AM10" s="82">
        <f t="shared" si="8"/>
        <v>11.08</v>
      </c>
      <c r="AN10" s="301"/>
      <c r="AO10" s="79"/>
      <c r="AP10" s="80">
        <f t="shared" si="13"/>
        <v>0</v>
      </c>
      <c r="AQ10" s="81"/>
      <c r="AR10" s="81"/>
      <c r="AS10" s="82">
        <f t="shared" si="9"/>
        <v>15.509999999999998</v>
      </c>
      <c r="AT10" s="301"/>
      <c r="AU10" s="79"/>
      <c r="AV10" s="80">
        <f t="shared" si="10"/>
        <v>0</v>
      </c>
      <c r="AW10" s="81"/>
      <c r="AX10" s="81"/>
      <c r="AY10" s="82">
        <f t="shared" si="11"/>
        <v>12.47</v>
      </c>
      <c r="AZ10" s="301"/>
      <c r="BA10" s="79"/>
      <c r="BB10" s="80">
        <f t="shared" si="12"/>
        <v>0</v>
      </c>
      <c r="BC10" s="81"/>
      <c r="BD10" s="81"/>
      <c r="BE10" s="82">
        <f t="shared" si="14"/>
        <v>44.32</v>
      </c>
      <c r="BF10" s="301"/>
      <c r="BS10" s="79"/>
      <c r="BT10" s="80">
        <f t="shared" si="1"/>
        <v>0</v>
      </c>
      <c r="BU10" s="81"/>
      <c r="BV10" s="81"/>
      <c r="BW10" s="82">
        <f t="shared" si="2"/>
        <v>16.619999999999997</v>
      </c>
      <c r="CP10" s="301"/>
    </row>
    <row r="11" spans="1:94" s="46" customFormat="1" x14ac:dyDescent="0.25">
      <c r="A11" s="110" t="s">
        <v>188</v>
      </c>
      <c r="B11" s="110" t="s">
        <v>229</v>
      </c>
      <c r="C11" s="110" t="s">
        <v>45</v>
      </c>
      <c r="D11" s="110" t="s">
        <v>48</v>
      </c>
      <c r="E11" s="110" t="s">
        <v>48</v>
      </c>
      <c r="F11" s="414" t="s">
        <v>231</v>
      </c>
      <c r="G11" s="62" t="s">
        <v>230</v>
      </c>
      <c r="H11" s="63">
        <f t="shared" ref="H11:K17" si="15">$L11/4</f>
        <v>0</v>
      </c>
      <c r="I11" s="63">
        <f t="shared" si="15"/>
        <v>0</v>
      </c>
      <c r="J11" s="63">
        <f t="shared" si="15"/>
        <v>0</v>
      </c>
      <c r="K11" s="63">
        <f t="shared" si="15"/>
        <v>0</v>
      </c>
      <c r="L11" s="705">
        <v>0</v>
      </c>
      <c r="M11" s="62"/>
      <c r="N11" s="206" t="s">
        <v>541</v>
      </c>
      <c r="P11" s="66"/>
      <c r="Q11" s="195">
        <f>INDEX('Apportionment Bases'!T$6:T$33,MATCH('PC5'!$N11,'Apportionment Bases'!$A$6:$A$33,0))</f>
        <v>0</v>
      </c>
      <c r="R11" s="195">
        <f>INDEX('Apportionment Bases'!U$6:U$33,MATCH('PC5'!$N11,'Apportionment Bases'!$A$6:$A$33,0))</f>
        <v>0</v>
      </c>
      <c r="S11" s="199"/>
      <c r="T11" s="195">
        <f>INDEX('Apportionment Bases'!W$6:W$33,MATCH('PC5'!$N11,'Apportionment Bases'!$A$6:$A$33,0))</f>
        <v>1</v>
      </c>
      <c r="U11" s="56"/>
      <c r="V11" s="66"/>
      <c r="W11" s="72">
        <f t="shared" si="4"/>
        <v>0</v>
      </c>
      <c r="X11" s="66"/>
      <c r="Y11" s="66"/>
      <c r="Z11" s="72">
        <f t="shared" si="5"/>
        <v>0</v>
      </c>
      <c r="AA11" s="266" t="str">
        <f t="shared" si="6"/>
        <v>TRUE</v>
      </c>
      <c r="AB11" s="59" t="s">
        <v>175</v>
      </c>
      <c r="AC11" s="66"/>
      <c r="AD11" s="177">
        <v>0.2157</v>
      </c>
      <c r="AE11" s="234"/>
      <c r="AF11" s="234"/>
      <c r="AG11" s="177">
        <v>0.16619999999999999</v>
      </c>
      <c r="AH11" s="319"/>
      <c r="AI11" s="79"/>
      <c r="AJ11" s="80">
        <f t="shared" si="7"/>
        <v>0</v>
      </c>
      <c r="AK11" s="81"/>
      <c r="AL11" s="81"/>
      <c r="AM11" s="82">
        <f t="shared" si="8"/>
        <v>0</v>
      </c>
      <c r="AN11" s="319"/>
      <c r="AO11" s="79"/>
      <c r="AP11" s="80">
        <f t="shared" si="13"/>
        <v>0</v>
      </c>
      <c r="AQ11" s="81"/>
      <c r="AR11" s="81"/>
      <c r="AS11" s="82">
        <f t="shared" si="9"/>
        <v>0</v>
      </c>
      <c r="AT11" s="319"/>
      <c r="AU11" s="79"/>
      <c r="AV11" s="80">
        <f t="shared" si="10"/>
        <v>0</v>
      </c>
      <c r="AW11" s="81"/>
      <c r="AX11" s="81"/>
      <c r="AY11" s="82">
        <f t="shared" si="11"/>
        <v>0</v>
      </c>
      <c r="AZ11" s="319"/>
      <c r="BA11" s="79"/>
      <c r="BB11" s="80">
        <f t="shared" si="12"/>
        <v>0</v>
      </c>
      <c r="BC11" s="81"/>
      <c r="BD11" s="81"/>
      <c r="BE11" s="82">
        <f t="shared" si="14"/>
        <v>0</v>
      </c>
      <c r="BF11" s="319"/>
      <c r="BL11" s="56"/>
      <c r="BR11" s="56"/>
      <c r="BS11" s="79"/>
      <c r="BT11" s="80">
        <f t="shared" si="1"/>
        <v>0</v>
      </c>
      <c r="BU11" s="81"/>
      <c r="BV11" s="81"/>
      <c r="BW11" s="82">
        <f t="shared" si="2"/>
        <v>0</v>
      </c>
      <c r="BX11" s="56"/>
      <c r="CD11" s="56"/>
      <c r="CJ11" s="56"/>
      <c r="CP11" s="319"/>
    </row>
    <row r="12" spans="1:94" s="62" customFormat="1" x14ac:dyDescent="0.25">
      <c r="A12" s="110" t="s">
        <v>188</v>
      </c>
      <c r="B12" s="110" t="s">
        <v>54</v>
      </c>
      <c r="C12" s="110" t="s">
        <v>47</v>
      </c>
      <c r="D12" s="110" t="s">
        <v>48</v>
      </c>
      <c r="E12" s="110" t="s">
        <v>48</v>
      </c>
      <c r="F12" s="414" t="s">
        <v>235</v>
      </c>
      <c r="G12" s="62" t="s">
        <v>55</v>
      </c>
      <c r="H12" s="63">
        <f t="shared" si="15"/>
        <v>25</v>
      </c>
      <c r="I12" s="63">
        <f t="shared" si="15"/>
        <v>25</v>
      </c>
      <c r="J12" s="63">
        <f t="shared" si="15"/>
        <v>25</v>
      </c>
      <c r="K12" s="63">
        <f t="shared" si="15"/>
        <v>25</v>
      </c>
      <c r="L12" s="705">
        <v>100</v>
      </c>
      <c r="N12" s="206" t="s">
        <v>541</v>
      </c>
      <c r="P12" s="66"/>
      <c r="Q12" s="195">
        <f>INDEX('Apportionment Bases'!T$6:T$33,MATCH('PC5'!$N12,'Apportionment Bases'!$A$6:$A$33,0))</f>
        <v>0</v>
      </c>
      <c r="R12" s="195">
        <f>INDEX('Apportionment Bases'!U$6:U$33,MATCH('PC5'!$N12,'Apportionment Bases'!$A$6:$A$33,0))</f>
        <v>0</v>
      </c>
      <c r="S12" s="199"/>
      <c r="T12" s="195">
        <f>INDEX('Apportionment Bases'!W$6:W$33,MATCH('PC5'!$N12,'Apportionment Bases'!$A$6:$A$33,0))</f>
        <v>1</v>
      </c>
      <c r="U12" s="37"/>
      <c r="V12" s="66"/>
      <c r="W12" s="72">
        <f t="shared" si="4"/>
        <v>0</v>
      </c>
      <c r="X12" s="66"/>
      <c r="Y12" s="66"/>
      <c r="Z12" s="72">
        <f t="shared" si="5"/>
        <v>100</v>
      </c>
      <c r="AA12" s="266" t="str">
        <f t="shared" si="6"/>
        <v>TRUE</v>
      </c>
      <c r="AB12"/>
      <c r="AC12"/>
      <c r="AD12" s="3"/>
      <c r="AE12" s="3"/>
      <c r="AF12" s="3"/>
      <c r="AG12" s="3"/>
      <c r="AH12" s="318"/>
      <c r="AI12" s="79"/>
      <c r="AJ12" s="80">
        <f t="shared" si="7"/>
        <v>0</v>
      </c>
      <c r="AK12" s="81"/>
      <c r="AL12" s="81"/>
      <c r="AM12" s="82">
        <f t="shared" si="8"/>
        <v>11.08</v>
      </c>
      <c r="AN12" s="318"/>
      <c r="AO12" s="79"/>
      <c r="AP12" s="80">
        <f t="shared" si="13"/>
        <v>0</v>
      </c>
      <c r="AQ12" s="81"/>
      <c r="AR12" s="81"/>
      <c r="AS12" s="82">
        <f t="shared" si="9"/>
        <v>15.509999999999998</v>
      </c>
      <c r="AT12" s="318"/>
      <c r="AU12" s="79"/>
      <c r="AV12" s="80">
        <f t="shared" si="10"/>
        <v>0</v>
      </c>
      <c r="AW12" s="81"/>
      <c r="AX12" s="81"/>
      <c r="AY12" s="82">
        <f t="shared" si="11"/>
        <v>12.47</v>
      </c>
      <c r="AZ12" s="318"/>
      <c r="BA12" s="79"/>
      <c r="BB12" s="80">
        <f t="shared" si="12"/>
        <v>0</v>
      </c>
      <c r="BC12" s="81"/>
      <c r="BD12" s="81"/>
      <c r="BE12" s="82">
        <f t="shared" si="14"/>
        <v>44.32</v>
      </c>
      <c r="BF12" s="318"/>
      <c r="BL12" s="37"/>
      <c r="BR12" s="37"/>
      <c r="BS12" s="79"/>
      <c r="BT12" s="80">
        <f t="shared" si="1"/>
        <v>0</v>
      </c>
      <c r="BU12" s="81"/>
      <c r="BV12" s="81"/>
      <c r="BW12" s="82">
        <f t="shared" si="2"/>
        <v>16.619999999999997</v>
      </c>
      <c r="BX12" s="37"/>
      <c r="CD12" s="37"/>
      <c r="CJ12" s="37"/>
      <c r="CP12" s="318"/>
    </row>
    <row r="13" spans="1:94" s="62" customFormat="1" x14ac:dyDescent="0.25">
      <c r="A13" s="110" t="s">
        <v>188</v>
      </c>
      <c r="B13" s="110" t="s">
        <v>54</v>
      </c>
      <c r="C13" s="110" t="s">
        <v>45</v>
      </c>
      <c r="D13" s="110" t="s">
        <v>48</v>
      </c>
      <c r="E13" s="110" t="s">
        <v>48</v>
      </c>
      <c r="F13" s="414" t="s">
        <v>236</v>
      </c>
      <c r="G13" s="62" t="s">
        <v>55</v>
      </c>
      <c r="H13" s="63">
        <f t="shared" si="15"/>
        <v>600</v>
      </c>
      <c r="I13" s="63">
        <f t="shared" si="15"/>
        <v>600</v>
      </c>
      <c r="J13" s="63">
        <f t="shared" si="15"/>
        <v>600</v>
      </c>
      <c r="K13" s="63">
        <f t="shared" si="15"/>
        <v>600</v>
      </c>
      <c r="L13" s="705">
        <v>2400</v>
      </c>
      <c r="N13" s="206" t="s">
        <v>541</v>
      </c>
      <c r="P13" s="66"/>
      <c r="Q13" s="195">
        <f>INDEX('Apportionment Bases'!T$6:T$33,MATCH('PC5'!$N13,'Apportionment Bases'!$A$6:$A$33,0))</f>
        <v>0</v>
      </c>
      <c r="R13" s="195">
        <f>INDEX('Apportionment Bases'!U$6:U$33,MATCH('PC5'!$N13,'Apportionment Bases'!$A$6:$A$33,0))</f>
        <v>0</v>
      </c>
      <c r="S13" s="199"/>
      <c r="T13" s="195">
        <f>INDEX('Apportionment Bases'!W$6:W$33,MATCH('PC5'!$N13,'Apportionment Bases'!$A$6:$A$33,0))</f>
        <v>1</v>
      </c>
      <c r="U13" s="37"/>
      <c r="V13" s="66"/>
      <c r="W13" s="72">
        <f t="shared" si="4"/>
        <v>0</v>
      </c>
      <c r="X13" s="66"/>
      <c r="Y13" s="66"/>
      <c r="Z13" s="72">
        <f t="shared" si="5"/>
        <v>2400</v>
      </c>
      <c r="AA13" s="266" t="str">
        <f t="shared" si="6"/>
        <v>TRUE</v>
      </c>
      <c r="AB13"/>
      <c r="AC13"/>
      <c r="AD13" s="3"/>
      <c r="AE13" s="3"/>
      <c r="AF13" s="3"/>
      <c r="AG13" s="3"/>
      <c r="AH13" s="318"/>
      <c r="AI13" s="79"/>
      <c r="AJ13" s="80">
        <f t="shared" si="7"/>
        <v>0</v>
      </c>
      <c r="AK13" s="81"/>
      <c r="AL13" s="81"/>
      <c r="AM13" s="82">
        <f t="shared" si="8"/>
        <v>265.92</v>
      </c>
      <c r="AN13" s="318"/>
      <c r="AO13" s="79"/>
      <c r="AP13" s="80">
        <f t="shared" si="13"/>
        <v>0</v>
      </c>
      <c r="AQ13" s="81"/>
      <c r="AR13" s="81"/>
      <c r="AS13" s="82">
        <f t="shared" si="9"/>
        <v>372.23999999999995</v>
      </c>
      <c r="AT13" s="318"/>
      <c r="AU13" s="79"/>
      <c r="AV13" s="80">
        <f t="shared" si="10"/>
        <v>0</v>
      </c>
      <c r="AW13" s="81"/>
      <c r="AX13" s="81"/>
      <c r="AY13" s="82">
        <f t="shared" si="11"/>
        <v>299.28000000000003</v>
      </c>
      <c r="AZ13" s="318"/>
      <c r="BA13" s="79"/>
      <c r="BB13" s="80">
        <f t="shared" si="12"/>
        <v>0</v>
      </c>
      <c r="BC13" s="81"/>
      <c r="BD13" s="81"/>
      <c r="BE13" s="82">
        <f t="shared" si="14"/>
        <v>1063.68</v>
      </c>
      <c r="BF13" s="318"/>
      <c r="BL13" s="37"/>
      <c r="BR13" s="37"/>
      <c r="BS13" s="79"/>
      <c r="BT13" s="80">
        <f t="shared" si="1"/>
        <v>0</v>
      </c>
      <c r="BU13" s="81"/>
      <c r="BV13" s="81"/>
      <c r="BW13" s="82">
        <f t="shared" si="2"/>
        <v>398.88</v>
      </c>
      <c r="BX13" s="37"/>
      <c r="CD13" s="37"/>
      <c r="CJ13" s="37"/>
      <c r="CP13" s="318"/>
    </row>
    <row r="14" spans="1:94" s="62" customFormat="1" x14ac:dyDescent="0.25">
      <c r="A14" s="110" t="s">
        <v>188</v>
      </c>
      <c r="B14" s="110" t="s">
        <v>56</v>
      </c>
      <c r="C14" s="110" t="s">
        <v>45</v>
      </c>
      <c r="D14" s="110" t="s">
        <v>189</v>
      </c>
      <c r="E14" s="110" t="s">
        <v>48</v>
      </c>
      <c r="F14" s="414" t="s">
        <v>237</v>
      </c>
      <c r="G14" s="62" t="s">
        <v>57</v>
      </c>
      <c r="H14" s="63">
        <f t="shared" si="15"/>
        <v>0</v>
      </c>
      <c r="I14" s="63">
        <f t="shared" si="15"/>
        <v>0</v>
      </c>
      <c r="J14" s="63">
        <f t="shared" si="15"/>
        <v>0</v>
      </c>
      <c r="K14" s="63">
        <f t="shared" si="15"/>
        <v>0</v>
      </c>
      <c r="L14" s="705">
        <v>0</v>
      </c>
      <c r="N14" s="206" t="s">
        <v>541</v>
      </c>
      <c r="P14" s="66"/>
      <c r="Q14" s="195">
        <f>INDEX('Apportionment Bases'!T$6:T$33,MATCH('PC5'!$N14,'Apportionment Bases'!$A$6:$A$33,0))</f>
        <v>0</v>
      </c>
      <c r="R14" s="195">
        <f>INDEX('Apportionment Bases'!U$6:U$33,MATCH('PC5'!$N14,'Apportionment Bases'!$A$6:$A$33,0))</f>
        <v>0</v>
      </c>
      <c r="S14" s="199"/>
      <c r="T14" s="195">
        <f>INDEX('Apportionment Bases'!W$6:W$33,MATCH('PC5'!$N14,'Apportionment Bases'!$A$6:$A$33,0))</f>
        <v>1</v>
      </c>
      <c r="U14" s="37"/>
      <c r="V14" s="66"/>
      <c r="W14" s="72">
        <f t="shared" si="4"/>
        <v>0</v>
      </c>
      <c r="X14" s="66"/>
      <c r="Y14" s="66"/>
      <c r="Z14" s="72">
        <f t="shared" si="5"/>
        <v>0</v>
      </c>
      <c r="AA14" s="266" t="str">
        <f>IF(SUM(V14:Z14)=L14,"TRUE","FALSE")</f>
        <v>TRUE</v>
      </c>
      <c r="AB14"/>
      <c r="AC14"/>
      <c r="AD14" s="3"/>
      <c r="AE14" s="3"/>
      <c r="AF14" s="3"/>
      <c r="AG14" s="3"/>
      <c r="AH14" s="318"/>
      <c r="AI14" s="79"/>
      <c r="AJ14" s="80">
        <f t="shared" si="7"/>
        <v>0</v>
      </c>
      <c r="AK14" s="81"/>
      <c r="AL14" s="81"/>
      <c r="AM14" s="82">
        <f t="shared" si="8"/>
        <v>0</v>
      </c>
      <c r="AN14" s="318"/>
      <c r="AO14" s="79"/>
      <c r="AP14" s="80">
        <f t="shared" si="13"/>
        <v>0</v>
      </c>
      <c r="AQ14" s="81"/>
      <c r="AR14" s="81"/>
      <c r="AS14" s="82">
        <f t="shared" si="9"/>
        <v>0</v>
      </c>
      <c r="AT14" s="318"/>
      <c r="AU14" s="79"/>
      <c r="AV14" s="80">
        <f t="shared" si="10"/>
        <v>0</v>
      </c>
      <c r="AW14" s="81"/>
      <c r="AX14" s="81"/>
      <c r="AY14" s="82">
        <f t="shared" si="11"/>
        <v>0</v>
      </c>
      <c r="AZ14" s="318"/>
      <c r="BA14" s="79"/>
      <c r="BB14" s="80">
        <f t="shared" si="12"/>
        <v>0</v>
      </c>
      <c r="BC14" s="81"/>
      <c r="BD14" s="81"/>
      <c r="BE14" s="82">
        <f t="shared" si="14"/>
        <v>0</v>
      </c>
      <c r="BF14" s="318"/>
      <c r="BL14" s="37"/>
      <c r="BR14" s="37"/>
      <c r="BS14" s="79"/>
      <c r="BT14" s="80">
        <f t="shared" si="1"/>
        <v>0</v>
      </c>
      <c r="BU14" s="81"/>
      <c r="BV14" s="81"/>
      <c r="BW14" s="82">
        <f t="shared" si="2"/>
        <v>0</v>
      </c>
      <c r="BX14" s="37"/>
      <c r="CD14" s="37"/>
      <c r="CJ14" s="37"/>
      <c r="CP14" s="318"/>
    </row>
    <row r="15" spans="1:94" s="62" customFormat="1" x14ac:dyDescent="0.25">
      <c r="A15" s="35" t="s">
        <v>188</v>
      </c>
      <c r="B15" s="35" t="s">
        <v>58</v>
      </c>
      <c r="C15" s="35" t="s">
        <v>47</v>
      </c>
      <c r="D15" s="105" t="s">
        <v>48</v>
      </c>
      <c r="E15" s="35" t="s">
        <v>48</v>
      </c>
      <c r="F15" s="17" t="str">
        <f>CONCATENATE(A15,"-",B15,"-",C15,"-",D15,"-",E15)</f>
        <v>05-5315-01-00-00</v>
      </c>
      <c r="G15" s="36" t="s">
        <v>59</v>
      </c>
      <c r="H15" s="63">
        <f t="shared" si="15"/>
        <v>0</v>
      </c>
      <c r="I15" s="63">
        <f t="shared" si="15"/>
        <v>0</v>
      </c>
      <c r="J15" s="63">
        <f t="shared" si="15"/>
        <v>0</v>
      </c>
      <c r="K15" s="63">
        <f>$L15/4</f>
        <v>0</v>
      </c>
      <c r="L15" s="705">
        <v>0</v>
      </c>
      <c r="N15" s="206" t="s">
        <v>541</v>
      </c>
      <c r="P15" s="66"/>
      <c r="Q15" s="195">
        <f>INDEX('Apportionment Bases'!T$6:T$33,MATCH('PC5'!$N15,'Apportionment Bases'!$A$6:$A$33,0))</f>
        <v>0</v>
      </c>
      <c r="R15" s="195">
        <f>INDEX('Apportionment Bases'!U$6:U$33,MATCH('PC5'!$N15,'Apportionment Bases'!$A$6:$A$33,0))</f>
        <v>0</v>
      </c>
      <c r="S15" s="199"/>
      <c r="T15" s="195">
        <f>INDEX('Apportionment Bases'!W$6:W$33,MATCH('PC5'!$N15,'Apportionment Bases'!$A$6:$A$33,0))</f>
        <v>1</v>
      </c>
      <c r="U15" s="37"/>
      <c r="V15" s="66"/>
      <c r="W15" s="72">
        <f t="shared" ref="W15" si="16">Q15*L15</f>
        <v>0</v>
      </c>
      <c r="X15" s="66"/>
      <c r="Y15" s="66"/>
      <c r="Z15" s="72">
        <f t="shared" ref="Z15" si="17">T15*L15</f>
        <v>0</v>
      </c>
      <c r="AA15" s="266" t="str">
        <f>IF(SUM(V15:Z15)=L15,"TRUE","FALSE")</f>
        <v>TRUE</v>
      </c>
      <c r="AB15"/>
      <c r="AC15"/>
      <c r="AD15" s="3"/>
      <c r="AE15" s="3"/>
      <c r="AF15" s="3"/>
      <c r="AG15" s="3"/>
      <c r="AH15" s="318"/>
      <c r="AI15" s="79"/>
      <c r="AJ15" s="80">
        <f>$AD$7*W15</f>
        <v>0</v>
      </c>
      <c r="AK15" s="81"/>
      <c r="AL15" s="81"/>
      <c r="AM15" s="82">
        <f t="shared" ref="AM15" si="18">$AG$7*Z15</f>
        <v>0</v>
      </c>
      <c r="AN15" s="318"/>
      <c r="AO15" s="79"/>
      <c r="AP15" s="80">
        <f t="shared" ref="AP15" si="19">$AD$8*W15</f>
        <v>0</v>
      </c>
      <c r="AQ15" s="81"/>
      <c r="AR15" s="81"/>
      <c r="AS15" s="82">
        <f t="shared" ref="AS15" si="20">$AG$8*Z15</f>
        <v>0</v>
      </c>
      <c r="AT15" s="318"/>
      <c r="AU15" s="79"/>
      <c r="AV15" s="80">
        <f t="shared" ref="AV15" si="21">$AD$9*W15</f>
        <v>0</v>
      </c>
      <c r="AW15" s="81"/>
      <c r="AX15" s="81"/>
      <c r="AY15" s="82">
        <f t="shared" ref="AY15" si="22">$AG$9*Z15</f>
        <v>0</v>
      </c>
      <c r="AZ15" s="318"/>
      <c r="BA15" s="79"/>
      <c r="BB15" s="80">
        <f t="shared" ref="BB15" si="23">$AD$10*W15</f>
        <v>0</v>
      </c>
      <c r="BC15" s="81"/>
      <c r="BD15" s="81"/>
      <c r="BE15" s="82">
        <f t="shared" ref="BE15" si="24">$AG$10*Z15</f>
        <v>0</v>
      </c>
      <c r="BF15" s="318"/>
      <c r="BL15" s="37"/>
      <c r="BR15" s="37"/>
      <c r="BS15" s="79"/>
      <c r="BT15" s="80">
        <f t="shared" ref="BT15" si="25">$AD$11*W15</f>
        <v>0</v>
      </c>
      <c r="BU15" s="81"/>
      <c r="BV15" s="81"/>
      <c r="BW15" s="82">
        <f t="shared" ref="BW15" si="26">$AG$11*Z15</f>
        <v>0</v>
      </c>
      <c r="BX15" s="37"/>
      <c r="CD15" s="37"/>
      <c r="CJ15" s="37"/>
      <c r="CP15" s="318"/>
    </row>
    <row r="16" spans="1:94" s="62" customFormat="1" x14ac:dyDescent="0.25">
      <c r="A16" s="110" t="s">
        <v>188</v>
      </c>
      <c r="B16" s="110" t="s">
        <v>60</v>
      </c>
      <c r="C16" s="110" t="s">
        <v>47</v>
      </c>
      <c r="D16" s="110" t="s">
        <v>189</v>
      </c>
      <c r="E16" s="110" t="s">
        <v>48</v>
      </c>
      <c r="F16" s="414" t="s">
        <v>238</v>
      </c>
      <c r="G16" s="62" t="s">
        <v>61</v>
      </c>
      <c r="H16" s="63">
        <f t="shared" si="15"/>
        <v>2086</v>
      </c>
      <c r="I16" s="63">
        <f t="shared" si="15"/>
        <v>2086</v>
      </c>
      <c r="J16" s="63">
        <f t="shared" si="15"/>
        <v>2086</v>
      </c>
      <c r="K16" s="63">
        <f t="shared" si="15"/>
        <v>2086</v>
      </c>
      <c r="L16" s="705">
        <v>8344</v>
      </c>
      <c r="N16" s="206" t="s">
        <v>541</v>
      </c>
      <c r="P16" s="66"/>
      <c r="Q16" s="195">
        <f>INDEX('Apportionment Bases'!T$6:T$33,MATCH('PC5'!$N16,'Apportionment Bases'!$A$6:$A$33,0))</f>
        <v>0</v>
      </c>
      <c r="R16" s="195">
        <f>INDEX('Apportionment Bases'!U$6:U$33,MATCH('PC5'!$N16,'Apportionment Bases'!$A$6:$A$33,0))</f>
        <v>0</v>
      </c>
      <c r="S16" s="199"/>
      <c r="T16" s="195">
        <f>INDEX('Apportionment Bases'!W$6:W$33,MATCH('PC5'!$N16,'Apportionment Bases'!$A$6:$A$33,0))</f>
        <v>1</v>
      </c>
      <c r="U16" s="37"/>
      <c r="V16" s="66"/>
      <c r="W16" s="72">
        <f t="shared" si="4"/>
        <v>0</v>
      </c>
      <c r="X16" s="66"/>
      <c r="Y16" s="66"/>
      <c r="Z16" s="72">
        <f t="shared" si="5"/>
        <v>8344</v>
      </c>
      <c r="AA16" s="266" t="str">
        <f t="shared" si="6"/>
        <v>TRUE</v>
      </c>
      <c r="AB16"/>
      <c r="AC16"/>
      <c r="AD16" s="3"/>
      <c r="AE16" s="3"/>
      <c r="AF16" s="3"/>
      <c r="AG16" s="3"/>
      <c r="AH16" s="318"/>
      <c r="AI16" s="79"/>
      <c r="AJ16" s="80">
        <f t="shared" si="7"/>
        <v>0</v>
      </c>
      <c r="AK16" s="81"/>
      <c r="AL16" s="81"/>
      <c r="AM16" s="82">
        <f t="shared" si="8"/>
        <v>924.51519999999994</v>
      </c>
      <c r="AN16" s="318"/>
      <c r="AO16" s="79"/>
      <c r="AP16" s="80">
        <f t="shared" si="13"/>
        <v>0</v>
      </c>
      <c r="AQ16" s="81"/>
      <c r="AR16" s="81"/>
      <c r="AS16" s="82">
        <f t="shared" si="9"/>
        <v>1294.1543999999999</v>
      </c>
      <c r="AT16" s="318"/>
      <c r="AU16" s="79"/>
      <c r="AV16" s="80">
        <f t="shared" si="10"/>
        <v>0</v>
      </c>
      <c r="AW16" s="81"/>
      <c r="AX16" s="81"/>
      <c r="AY16" s="82">
        <f t="shared" si="11"/>
        <v>1040.4968000000001</v>
      </c>
      <c r="AZ16" s="318"/>
      <c r="BA16" s="79"/>
      <c r="BB16" s="80">
        <f t="shared" si="12"/>
        <v>0</v>
      </c>
      <c r="BC16" s="81"/>
      <c r="BD16" s="81"/>
      <c r="BE16" s="82">
        <f t="shared" si="14"/>
        <v>3698.0607999999997</v>
      </c>
      <c r="BF16" s="318"/>
      <c r="BL16" s="37"/>
      <c r="BR16" s="37"/>
      <c r="BS16" s="79"/>
      <c r="BT16" s="80">
        <f t="shared" si="1"/>
        <v>0</v>
      </c>
      <c r="BU16" s="81"/>
      <c r="BV16" s="81"/>
      <c r="BW16" s="82">
        <f t="shared" si="2"/>
        <v>1386.7728</v>
      </c>
      <c r="BX16" s="37"/>
      <c r="CD16" s="37"/>
      <c r="CJ16" s="37"/>
      <c r="CP16" s="318"/>
    </row>
    <row r="17" spans="1:94" s="62" customFormat="1" x14ac:dyDescent="0.25">
      <c r="A17" s="110" t="s">
        <v>188</v>
      </c>
      <c r="B17" s="110" t="s">
        <v>60</v>
      </c>
      <c r="C17" s="110" t="s">
        <v>45</v>
      </c>
      <c r="D17" s="110" t="s">
        <v>48</v>
      </c>
      <c r="E17" s="110" t="s">
        <v>48</v>
      </c>
      <c r="F17" s="414" t="s">
        <v>239</v>
      </c>
      <c r="G17" s="62" t="s">
        <v>61</v>
      </c>
      <c r="H17" s="63">
        <f t="shared" si="15"/>
        <v>16784.75</v>
      </c>
      <c r="I17" s="63">
        <f t="shared" si="15"/>
        <v>16784.75</v>
      </c>
      <c r="J17" s="63">
        <f t="shared" si="15"/>
        <v>16784.75</v>
      </c>
      <c r="K17" s="63">
        <f t="shared" si="15"/>
        <v>16784.75</v>
      </c>
      <c r="L17" s="705">
        <v>67139</v>
      </c>
      <c r="N17" s="206" t="s">
        <v>541</v>
      </c>
      <c r="P17" s="66"/>
      <c r="Q17" s="195">
        <f>INDEX('Apportionment Bases'!T$6:T$33,MATCH('PC5'!$N17,'Apportionment Bases'!$A$6:$A$33,0))</f>
        <v>0</v>
      </c>
      <c r="R17" s="195">
        <f>INDEX('Apportionment Bases'!U$6:U$33,MATCH('PC5'!$N17,'Apportionment Bases'!$A$6:$A$33,0))</f>
        <v>0</v>
      </c>
      <c r="S17" s="199"/>
      <c r="T17" s="195">
        <f>INDEX('Apportionment Bases'!W$6:W$33,MATCH('PC5'!$N17,'Apportionment Bases'!$A$6:$A$33,0))</f>
        <v>1</v>
      </c>
      <c r="U17" s="37"/>
      <c r="V17" s="66"/>
      <c r="W17" s="72">
        <f t="shared" si="4"/>
        <v>0</v>
      </c>
      <c r="X17" s="66"/>
      <c r="Y17" s="66"/>
      <c r="Z17" s="72">
        <f t="shared" si="5"/>
        <v>67139</v>
      </c>
      <c r="AA17" s="266" t="str">
        <f t="shared" si="6"/>
        <v>TRUE</v>
      </c>
      <c r="AB17"/>
      <c r="AC17"/>
      <c r="AD17" s="3"/>
      <c r="AE17" s="3"/>
      <c r="AF17" s="3"/>
      <c r="AG17" s="3"/>
      <c r="AH17" s="318"/>
      <c r="AI17" s="79"/>
      <c r="AJ17" s="80">
        <f t="shared" si="7"/>
        <v>0</v>
      </c>
      <c r="AK17" s="81"/>
      <c r="AL17" s="81"/>
      <c r="AM17" s="82">
        <f t="shared" si="8"/>
        <v>7439.0011999999997</v>
      </c>
      <c r="AN17" s="318"/>
      <c r="AO17" s="79"/>
      <c r="AP17" s="80">
        <f t="shared" si="13"/>
        <v>0</v>
      </c>
      <c r="AQ17" s="81"/>
      <c r="AR17" s="81"/>
      <c r="AS17" s="82">
        <f t="shared" si="9"/>
        <v>10413.258899999999</v>
      </c>
      <c r="AT17" s="318"/>
      <c r="AU17" s="79"/>
      <c r="AV17" s="80">
        <f t="shared" si="10"/>
        <v>0</v>
      </c>
      <c r="AW17" s="81"/>
      <c r="AX17" s="81"/>
      <c r="AY17" s="82">
        <f t="shared" si="11"/>
        <v>8372.2332999999999</v>
      </c>
      <c r="AZ17" s="318"/>
      <c r="BA17" s="79"/>
      <c r="BB17" s="80">
        <f>$AD$10*W17</f>
        <v>0</v>
      </c>
      <c r="BC17" s="81"/>
      <c r="BD17" s="81"/>
      <c r="BE17" s="82">
        <f t="shared" si="14"/>
        <v>29756.004799999999</v>
      </c>
      <c r="BF17" s="318"/>
      <c r="BL17" s="37"/>
      <c r="BR17" s="37"/>
      <c r="BS17" s="79"/>
      <c r="BT17" s="80">
        <f t="shared" si="1"/>
        <v>0</v>
      </c>
      <c r="BU17" s="81"/>
      <c r="BV17" s="81"/>
      <c r="BW17" s="82">
        <f t="shared" si="2"/>
        <v>11158.5018</v>
      </c>
      <c r="BX17" s="37"/>
      <c r="CD17" s="37"/>
      <c r="CJ17" s="37"/>
      <c r="CP17" s="318"/>
    </row>
    <row r="18" spans="1:94" ht="15.75" thickBot="1" x14ac:dyDescent="0.3">
      <c r="A18" s="27"/>
      <c r="B18" s="27"/>
      <c r="C18" s="27"/>
      <c r="D18" s="27"/>
      <c r="E18" s="27"/>
      <c r="F18" s="28"/>
      <c r="G18" s="23" t="s">
        <v>64</v>
      </c>
      <c r="H18" s="29">
        <f>SUM(H7:H17)</f>
        <v>45045.5</v>
      </c>
      <c r="I18" s="29">
        <f t="shared" ref="I18:K18" si="27">SUM(I7:I17)</f>
        <v>45045.5</v>
      </c>
      <c r="J18" s="29">
        <f t="shared" si="27"/>
        <v>45045.5</v>
      </c>
      <c r="K18" s="29">
        <f t="shared" si="27"/>
        <v>45045.5</v>
      </c>
      <c r="L18" s="706">
        <f>SUM(L7:L17)</f>
        <v>180182</v>
      </c>
      <c r="M18" s="28"/>
      <c r="N18" s="28"/>
      <c r="O18" s="28"/>
      <c r="P18" s="28"/>
      <c r="Q18" s="200"/>
      <c r="R18" s="200"/>
      <c r="S18" s="200"/>
      <c r="T18" s="200"/>
      <c r="U18" s="28"/>
      <c r="V18" s="28"/>
      <c r="W18" s="29">
        <f>SUM(W7:W17)</f>
        <v>0</v>
      </c>
      <c r="X18" s="28"/>
      <c r="Y18" s="28"/>
      <c r="Z18" s="29">
        <f>SUM(Z7:Z17)</f>
        <v>180182</v>
      </c>
      <c r="AA18" s="28"/>
      <c r="AB18" s="28" t="s">
        <v>187</v>
      </c>
      <c r="AC18" s="39"/>
      <c r="AD18" s="235">
        <f>SUM(AD7:AD17)</f>
        <v>1</v>
      </c>
      <c r="AE18" s="235"/>
      <c r="AF18" s="235"/>
      <c r="AG18" s="235">
        <f>SUM(AG7:AG17)</f>
        <v>0.99999999999999989</v>
      </c>
      <c r="AH18" s="332"/>
      <c r="AI18" s="83"/>
      <c r="AJ18" s="70">
        <f t="shared" ref="AJ18:AM18" si="28">SUM(AJ7:AJ17)</f>
        <v>0</v>
      </c>
      <c r="AK18" s="83"/>
      <c r="AL18" s="83"/>
      <c r="AM18" s="327">
        <f t="shared" si="28"/>
        <v>19964.165599999997</v>
      </c>
      <c r="AN18" s="332"/>
      <c r="AO18" s="83"/>
      <c r="AP18" s="70">
        <f>SUM(AP7:AP17)</f>
        <v>0</v>
      </c>
      <c r="AQ18" s="83"/>
      <c r="AR18" s="83"/>
      <c r="AS18" s="70">
        <f>SUM(AS7:AS17)</f>
        <v>27946.228199999998</v>
      </c>
      <c r="AT18" s="332"/>
      <c r="AU18" s="83"/>
      <c r="AV18" s="70">
        <f>SUM(AV7:AV17)</f>
        <v>0</v>
      </c>
      <c r="AW18" s="83"/>
      <c r="AX18" s="83"/>
      <c r="AY18" s="70">
        <f>SUM(AY7:AY17)</f>
        <v>22468.695400000001</v>
      </c>
      <c r="AZ18" s="337"/>
      <c r="BA18" s="70"/>
      <c r="BB18" s="70">
        <f t="shared" ref="BB18:BW18" si="29">SUM(BB7:BB17)</f>
        <v>0</v>
      </c>
      <c r="BC18" s="70"/>
      <c r="BD18" s="70"/>
      <c r="BE18" s="327">
        <f>SUM(BE7:BE17)</f>
        <v>79856.662399999987</v>
      </c>
      <c r="BF18" s="337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>
        <f t="shared" si="29"/>
        <v>0</v>
      </c>
      <c r="BU18" s="70"/>
      <c r="BV18" s="70"/>
      <c r="BW18" s="84">
        <f t="shared" si="29"/>
        <v>29946.248399999997</v>
      </c>
      <c r="CP18" s="301"/>
    </row>
    <row r="19" spans="1:94" ht="15.75" thickTop="1" x14ac:dyDescent="0.25">
      <c r="H19" s="60"/>
      <c r="I19" s="60"/>
      <c r="J19" s="60"/>
      <c r="K19" s="60"/>
      <c r="L19" s="705"/>
      <c r="Q19" s="201"/>
      <c r="R19" s="197"/>
      <c r="S19" s="197"/>
      <c r="T19" s="201"/>
      <c r="AH19" s="300"/>
      <c r="AI19" s="85"/>
      <c r="AJ19" s="85"/>
      <c r="AK19" s="85"/>
      <c r="AL19" s="85"/>
      <c r="AM19" s="85"/>
      <c r="AN19" s="300"/>
      <c r="AO19" s="85"/>
      <c r="AP19" s="85"/>
      <c r="AQ19" s="85"/>
      <c r="AR19" s="85"/>
      <c r="AS19" s="85"/>
      <c r="AT19" s="300"/>
      <c r="AU19" s="85"/>
      <c r="AV19" s="85"/>
      <c r="AW19" s="85"/>
      <c r="AX19" s="85"/>
      <c r="AY19" s="85"/>
      <c r="AZ19" s="300"/>
      <c r="BA19" s="85"/>
      <c r="BB19" s="85"/>
      <c r="BC19" s="85"/>
      <c r="BD19" s="85"/>
      <c r="BE19" s="85"/>
      <c r="BF19" s="301"/>
      <c r="BS19" s="85"/>
      <c r="BT19" s="85"/>
      <c r="BU19" s="85"/>
      <c r="BV19" s="85"/>
      <c r="BW19" s="330"/>
      <c r="CP19" s="300"/>
    </row>
    <row r="20" spans="1:94" ht="15.75" thickBot="1" x14ac:dyDescent="0.3">
      <c r="A20" s="760" t="s">
        <v>65</v>
      </c>
      <c r="B20" s="760"/>
      <c r="C20" s="760"/>
      <c r="D20" s="760"/>
      <c r="E20" s="760"/>
      <c r="F20" s="760"/>
      <c r="G20" s="760"/>
      <c r="H20" s="15"/>
      <c r="I20" s="15"/>
      <c r="J20" s="15"/>
      <c r="K20" s="15"/>
      <c r="L20" s="707"/>
      <c r="M20" s="15"/>
      <c r="N20" s="15"/>
      <c r="O20" s="15"/>
      <c r="P20" s="15"/>
      <c r="Q20" s="202"/>
      <c r="R20" s="203"/>
      <c r="S20" s="203"/>
      <c r="T20" s="204"/>
      <c r="U20" s="65"/>
      <c r="V20" s="15"/>
      <c r="W20" s="68"/>
      <c r="X20" s="15"/>
      <c r="Y20" s="15"/>
      <c r="Z20" s="69"/>
      <c r="AA20" s="9"/>
      <c r="AB20" s="9"/>
      <c r="AC20" s="9"/>
      <c r="AD20" s="9"/>
      <c r="AE20" s="9"/>
      <c r="AF20" s="9"/>
      <c r="AG20" s="9"/>
      <c r="AH20" s="313"/>
      <c r="AI20" s="87"/>
      <c r="AJ20" s="87"/>
      <c r="AK20" s="87"/>
      <c r="AL20" s="87"/>
      <c r="AM20" s="87"/>
      <c r="AN20" s="335"/>
      <c r="AO20" s="87"/>
      <c r="AP20" s="87"/>
      <c r="AQ20" s="87"/>
      <c r="AR20" s="87"/>
      <c r="AS20" s="87"/>
      <c r="AT20" s="335"/>
      <c r="AU20" s="87"/>
      <c r="AV20" s="87"/>
      <c r="AW20" s="87"/>
      <c r="AX20" s="87"/>
      <c r="AY20" s="87"/>
      <c r="AZ20" s="335"/>
      <c r="BA20" s="87"/>
      <c r="BB20" s="87"/>
      <c r="BC20" s="87"/>
      <c r="BD20" s="87"/>
      <c r="BE20" s="87"/>
      <c r="BF20" s="335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65"/>
      <c r="BY20" s="9"/>
      <c r="BZ20" s="9"/>
      <c r="CA20" s="9"/>
      <c r="CB20" s="9"/>
      <c r="CC20" s="9"/>
      <c r="CD20" s="65"/>
      <c r="CE20" s="9"/>
      <c r="CF20" s="9"/>
      <c r="CG20" s="9"/>
      <c r="CH20" s="9"/>
      <c r="CI20" s="9"/>
      <c r="CJ20" s="65"/>
      <c r="CK20" s="9"/>
      <c r="CL20" s="9"/>
      <c r="CM20" s="9"/>
      <c r="CN20" s="9"/>
      <c r="CO20" s="9"/>
      <c r="CP20" s="301"/>
    </row>
    <row r="21" spans="1:94" x14ac:dyDescent="0.25">
      <c r="A21" s="3" t="s">
        <v>188</v>
      </c>
      <c r="B21" s="3" t="s">
        <v>66</v>
      </c>
      <c r="C21" s="3" t="s">
        <v>47</v>
      </c>
      <c r="D21" s="3" t="s">
        <v>48</v>
      </c>
      <c r="E21" s="3" t="s">
        <v>48</v>
      </c>
      <c r="F21" t="s">
        <v>194</v>
      </c>
      <c r="G21" t="s">
        <v>11</v>
      </c>
      <c r="H21" s="60">
        <f t="shared" si="3"/>
        <v>250</v>
      </c>
      <c r="I21" s="60">
        <f t="shared" si="0"/>
        <v>250</v>
      </c>
      <c r="J21" s="60">
        <f t="shared" si="0"/>
        <v>250</v>
      </c>
      <c r="K21" s="60">
        <f t="shared" si="0"/>
        <v>250</v>
      </c>
      <c r="L21" s="705">
        <v>1000</v>
      </c>
      <c r="N21" s="206" t="s">
        <v>541</v>
      </c>
      <c r="P21" s="66"/>
      <c r="Q21" s="195">
        <f>INDEX('Apportionment Bases'!T$6:T$33,MATCH('PC5'!$N21,'Apportionment Bases'!$A$6:$A$33,0))</f>
        <v>0</v>
      </c>
      <c r="R21" s="195">
        <f>INDEX('Apportionment Bases'!U$6:U$33,MATCH('PC5'!$N21,'Apportionment Bases'!$A$6:$A$33,0))</f>
        <v>0</v>
      </c>
      <c r="S21" s="199"/>
      <c r="T21" s="195">
        <f>INDEX('Apportionment Bases'!W$6:W$33,MATCH('PC5'!$N21,'Apportionment Bases'!$A$6:$A$33,0))</f>
        <v>1</v>
      </c>
      <c r="V21" s="66"/>
      <c r="W21" s="72">
        <f>Q21*L21</f>
        <v>0</v>
      </c>
      <c r="X21" s="66"/>
      <c r="Y21" s="66"/>
      <c r="Z21" s="72">
        <f>T21*L21</f>
        <v>1000</v>
      </c>
      <c r="AA21" s="266" t="str">
        <f t="shared" ref="AA21:AA50" si="30">IF(SUM(V21:Z21)=L21,"TRUE","FALSE")</f>
        <v>TRUE</v>
      </c>
      <c r="AH21" s="301"/>
      <c r="AI21" s="79"/>
      <c r="AJ21" s="80">
        <f>$AD$7*W21</f>
        <v>0</v>
      </c>
      <c r="AK21" s="81"/>
      <c r="AL21" s="81"/>
      <c r="AM21" s="82">
        <f t="shared" ref="AM21:AM50" si="31">$AG$7*Z21</f>
        <v>110.8</v>
      </c>
      <c r="AN21" s="301"/>
      <c r="AO21" s="79"/>
      <c r="AP21" s="80">
        <f>$AD$8*W21</f>
        <v>0</v>
      </c>
      <c r="AQ21" s="81"/>
      <c r="AR21" s="81"/>
      <c r="AS21" s="82">
        <f t="shared" ref="AS21:AS50" si="32">$AG$8*Z21</f>
        <v>155.1</v>
      </c>
      <c r="AT21" s="301"/>
      <c r="AU21" s="79"/>
      <c r="AV21" s="80">
        <f t="shared" ref="AV21:AV50" si="33">$AD$9*W21</f>
        <v>0</v>
      </c>
      <c r="AW21" s="81"/>
      <c r="AX21" s="81"/>
      <c r="AY21" s="82">
        <f t="shared" ref="AY21:AY50" si="34">$AG$9*Z21</f>
        <v>124.7</v>
      </c>
      <c r="AZ21" s="301"/>
      <c r="BA21" s="79"/>
      <c r="BB21" s="80">
        <f>$AD$10*W21</f>
        <v>0</v>
      </c>
      <c r="BC21" s="81"/>
      <c r="BD21" s="81"/>
      <c r="BE21" s="82">
        <f t="shared" ref="BE21" si="35">$AG$10*Z21</f>
        <v>443.2</v>
      </c>
      <c r="BF21" s="301"/>
      <c r="BS21" s="79"/>
      <c r="BT21" s="80">
        <f t="shared" ref="BT21:BT50" si="36">$AD$11*W21</f>
        <v>0</v>
      </c>
      <c r="BU21" s="81"/>
      <c r="BV21" s="81"/>
      <c r="BW21" s="82">
        <f t="shared" ref="BW21:BW50" si="37">$AG$11*Z21</f>
        <v>166.2</v>
      </c>
      <c r="CP21" s="301"/>
    </row>
    <row r="22" spans="1:94" x14ac:dyDescent="0.25">
      <c r="A22" s="3" t="s">
        <v>188</v>
      </c>
      <c r="B22" s="3" t="s">
        <v>66</v>
      </c>
      <c r="C22" s="3" t="s">
        <v>45</v>
      </c>
      <c r="D22" s="3" t="s">
        <v>48</v>
      </c>
      <c r="E22" s="3" t="s">
        <v>48</v>
      </c>
      <c r="F22" t="s">
        <v>195</v>
      </c>
      <c r="G22" t="s">
        <v>11</v>
      </c>
      <c r="H22" s="60">
        <f t="shared" si="3"/>
        <v>0</v>
      </c>
      <c r="I22" s="60">
        <f t="shared" si="0"/>
        <v>0</v>
      </c>
      <c r="J22" s="60">
        <f t="shared" si="0"/>
        <v>0</v>
      </c>
      <c r="K22" s="60">
        <f t="shared" si="0"/>
        <v>0</v>
      </c>
      <c r="L22" s="705">
        <v>0</v>
      </c>
      <c r="N22" s="206" t="s">
        <v>541</v>
      </c>
      <c r="P22" s="66"/>
      <c r="Q22" s="195">
        <f>INDEX('Apportionment Bases'!T$6:T$33,MATCH('PC5'!$N22,'Apportionment Bases'!$A$6:$A$33,0))</f>
        <v>0</v>
      </c>
      <c r="R22" s="195">
        <f>INDEX('Apportionment Bases'!U$6:U$33,MATCH('PC5'!$N22,'Apportionment Bases'!$A$6:$A$33,0))</f>
        <v>0</v>
      </c>
      <c r="S22" s="199"/>
      <c r="T22" s="195">
        <f>INDEX('Apportionment Bases'!W$6:W$33,MATCH('PC5'!$N22,'Apportionment Bases'!$A$6:$A$33,0))</f>
        <v>1</v>
      </c>
      <c r="V22" s="66"/>
      <c r="W22" s="72">
        <f t="shared" ref="W22:W50" si="38">Q22*L22</f>
        <v>0</v>
      </c>
      <c r="X22" s="66"/>
      <c r="Y22" s="66"/>
      <c r="Z22" s="72">
        <f t="shared" ref="Z22:Z50" si="39">T22*L22</f>
        <v>0</v>
      </c>
      <c r="AA22" s="266" t="str">
        <f t="shared" si="30"/>
        <v>TRUE</v>
      </c>
      <c r="AH22" s="301"/>
      <c r="AI22" s="79"/>
      <c r="AJ22" s="80">
        <f t="shared" ref="AJ22:AJ50" si="40">$AD$7*W22</f>
        <v>0</v>
      </c>
      <c r="AK22" s="81"/>
      <c r="AL22" s="81"/>
      <c r="AM22" s="82">
        <f t="shared" si="31"/>
        <v>0</v>
      </c>
      <c r="AN22" s="301"/>
      <c r="AO22" s="79"/>
      <c r="AP22" s="80">
        <f t="shared" ref="AP22:AP50" si="41">$AD$8*W22</f>
        <v>0</v>
      </c>
      <c r="AQ22" s="81"/>
      <c r="AR22" s="81"/>
      <c r="AS22" s="82">
        <f t="shared" si="32"/>
        <v>0</v>
      </c>
      <c r="AT22" s="301"/>
      <c r="AU22" s="79"/>
      <c r="AV22" s="80">
        <f t="shared" si="33"/>
        <v>0</v>
      </c>
      <c r="AW22" s="81"/>
      <c r="AX22" s="81"/>
      <c r="AY22" s="82">
        <f t="shared" si="34"/>
        <v>0</v>
      </c>
      <c r="AZ22" s="301"/>
      <c r="BA22" s="79"/>
      <c r="BB22" s="80">
        <f t="shared" ref="BB22:BB50" si="42">$AD$10*W22</f>
        <v>0</v>
      </c>
      <c r="BC22" s="81"/>
      <c r="BD22" s="81"/>
      <c r="BE22" s="82">
        <f t="shared" ref="BE22:BE50" si="43">$AG$10*Z22</f>
        <v>0</v>
      </c>
      <c r="BF22" s="301"/>
      <c r="BS22" s="79"/>
      <c r="BT22" s="80">
        <f t="shared" si="36"/>
        <v>0</v>
      </c>
      <c r="BU22" s="81"/>
      <c r="BV22" s="81"/>
      <c r="BW22" s="82">
        <f t="shared" si="37"/>
        <v>0</v>
      </c>
      <c r="CP22" s="301"/>
    </row>
    <row r="23" spans="1:94" x14ac:dyDescent="0.25">
      <c r="A23" s="3" t="s">
        <v>188</v>
      </c>
      <c r="B23" s="3" t="s">
        <v>67</v>
      </c>
      <c r="C23" s="3" t="s">
        <v>47</v>
      </c>
      <c r="D23" s="3" t="s">
        <v>48</v>
      </c>
      <c r="E23" s="3" t="s">
        <v>48</v>
      </c>
      <c r="F23" t="s">
        <v>196</v>
      </c>
      <c r="G23" t="s">
        <v>12</v>
      </c>
      <c r="H23" s="60">
        <f t="shared" si="3"/>
        <v>125</v>
      </c>
      <c r="I23" s="60">
        <f t="shared" si="0"/>
        <v>125</v>
      </c>
      <c r="J23" s="60">
        <f t="shared" si="0"/>
        <v>125</v>
      </c>
      <c r="K23" s="60">
        <f t="shared" si="0"/>
        <v>125</v>
      </c>
      <c r="L23" s="705">
        <v>500</v>
      </c>
      <c r="N23" s="206" t="s">
        <v>541</v>
      </c>
      <c r="P23" s="66"/>
      <c r="Q23" s="195">
        <f>INDEX('Apportionment Bases'!T$6:T$33,MATCH('PC5'!$N23,'Apportionment Bases'!$A$6:$A$33,0))</f>
        <v>0</v>
      </c>
      <c r="R23" s="195">
        <f>INDEX('Apportionment Bases'!U$6:U$33,MATCH('PC5'!$N23,'Apportionment Bases'!$A$6:$A$33,0))</f>
        <v>0</v>
      </c>
      <c r="S23" s="199"/>
      <c r="T23" s="195">
        <f>INDEX('Apportionment Bases'!W$6:W$33,MATCH('PC5'!$N23,'Apportionment Bases'!$A$6:$A$33,0))</f>
        <v>1</v>
      </c>
      <c r="V23" s="66"/>
      <c r="W23" s="72">
        <f t="shared" si="38"/>
        <v>0</v>
      </c>
      <c r="X23" s="66"/>
      <c r="Y23" s="66"/>
      <c r="Z23" s="72">
        <f t="shared" si="39"/>
        <v>500</v>
      </c>
      <c r="AA23" s="266" t="str">
        <f t="shared" si="30"/>
        <v>TRUE</v>
      </c>
      <c r="AH23" s="301"/>
      <c r="AI23" s="79"/>
      <c r="AJ23" s="80">
        <f t="shared" si="40"/>
        <v>0</v>
      </c>
      <c r="AK23" s="81"/>
      <c r="AL23" s="81"/>
      <c r="AM23" s="82">
        <f t="shared" si="31"/>
        <v>55.4</v>
      </c>
      <c r="AN23" s="301"/>
      <c r="AO23" s="79"/>
      <c r="AP23" s="80">
        <f t="shared" si="41"/>
        <v>0</v>
      </c>
      <c r="AQ23" s="81"/>
      <c r="AR23" s="81"/>
      <c r="AS23" s="82">
        <f t="shared" si="32"/>
        <v>77.55</v>
      </c>
      <c r="AT23" s="301"/>
      <c r="AU23" s="79"/>
      <c r="AV23" s="80">
        <f t="shared" si="33"/>
        <v>0</v>
      </c>
      <c r="AW23" s="81"/>
      <c r="AX23" s="81"/>
      <c r="AY23" s="82">
        <f t="shared" si="34"/>
        <v>62.35</v>
      </c>
      <c r="AZ23" s="301"/>
      <c r="BA23" s="79"/>
      <c r="BB23" s="80">
        <f t="shared" si="42"/>
        <v>0</v>
      </c>
      <c r="BC23" s="81"/>
      <c r="BD23" s="81"/>
      <c r="BE23" s="82">
        <f t="shared" si="43"/>
        <v>221.6</v>
      </c>
      <c r="BF23" s="301"/>
      <c r="BS23" s="79"/>
      <c r="BT23" s="80">
        <f t="shared" si="36"/>
        <v>0</v>
      </c>
      <c r="BU23" s="81"/>
      <c r="BV23" s="81"/>
      <c r="BW23" s="82">
        <f t="shared" si="37"/>
        <v>83.1</v>
      </c>
      <c r="CP23" s="301"/>
    </row>
    <row r="24" spans="1:94" x14ac:dyDescent="0.25">
      <c r="A24" s="3" t="s">
        <v>188</v>
      </c>
      <c r="B24" s="3" t="s">
        <v>67</v>
      </c>
      <c r="C24" s="3" t="s">
        <v>45</v>
      </c>
      <c r="D24" s="3" t="s">
        <v>48</v>
      </c>
      <c r="E24" s="3" t="s">
        <v>48</v>
      </c>
      <c r="F24" t="s">
        <v>197</v>
      </c>
      <c r="G24" t="s">
        <v>12</v>
      </c>
      <c r="H24" s="60">
        <f t="shared" si="3"/>
        <v>0</v>
      </c>
      <c r="I24" s="60">
        <f t="shared" si="0"/>
        <v>0</v>
      </c>
      <c r="J24" s="60">
        <f t="shared" si="0"/>
        <v>0</v>
      </c>
      <c r="K24" s="60">
        <f t="shared" si="0"/>
        <v>0</v>
      </c>
      <c r="L24" s="705">
        <v>0</v>
      </c>
      <c r="N24" s="206" t="s">
        <v>541</v>
      </c>
      <c r="P24" s="66"/>
      <c r="Q24" s="195">
        <f>INDEX('Apportionment Bases'!T$6:T$33,MATCH('PC5'!$N24,'Apportionment Bases'!$A$6:$A$33,0))</f>
        <v>0</v>
      </c>
      <c r="R24" s="195">
        <f>INDEX('Apportionment Bases'!U$6:U$33,MATCH('PC5'!$N24,'Apportionment Bases'!$A$6:$A$33,0))</f>
        <v>0</v>
      </c>
      <c r="S24" s="199"/>
      <c r="T24" s="195">
        <f>INDEX('Apportionment Bases'!W$6:W$33,MATCH('PC5'!$N24,'Apportionment Bases'!$A$6:$A$33,0))</f>
        <v>1</v>
      </c>
      <c r="V24" s="66"/>
      <c r="W24" s="72">
        <f t="shared" si="38"/>
        <v>0</v>
      </c>
      <c r="X24" s="66"/>
      <c r="Y24" s="66"/>
      <c r="Z24" s="72">
        <f t="shared" si="39"/>
        <v>0</v>
      </c>
      <c r="AA24" s="266" t="str">
        <f t="shared" si="30"/>
        <v>TRUE</v>
      </c>
      <c r="AH24" s="301"/>
      <c r="AI24" s="79"/>
      <c r="AJ24" s="80">
        <f t="shared" si="40"/>
        <v>0</v>
      </c>
      <c r="AK24" s="81"/>
      <c r="AL24" s="81"/>
      <c r="AM24" s="82">
        <f t="shared" si="31"/>
        <v>0</v>
      </c>
      <c r="AN24" s="301"/>
      <c r="AO24" s="79"/>
      <c r="AP24" s="80">
        <f t="shared" si="41"/>
        <v>0</v>
      </c>
      <c r="AQ24" s="81"/>
      <c r="AR24" s="81"/>
      <c r="AS24" s="82">
        <f t="shared" si="32"/>
        <v>0</v>
      </c>
      <c r="AT24" s="301"/>
      <c r="AU24" s="79"/>
      <c r="AV24" s="80">
        <f t="shared" si="33"/>
        <v>0</v>
      </c>
      <c r="AW24" s="81"/>
      <c r="AX24" s="81"/>
      <c r="AY24" s="82">
        <f t="shared" si="34"/>
        <v>0</v>
      </c>
      <c r="AZ24" s="301"/>
      <c r="BA24" s="79"/>
      <c r="BB24" s="80">
        <f t="shared" si="42"/>
        <v>0</v>
      </c>
      <c r="BC24" s="81"/>
      <c r="BD24" s="81"/>
      <c r="BE24" s="82">
        <f t="shared" si="43"/>
        <v>0</v>
      </c>
      <c r="BF24" s="301"/>
      <c r="BS24" s="79"/>
      <c r="BT24" s="80">
        <f t="shared" si="36"/>
        <v>0</v>
      </c>
      <c r="BU24" s="81"/>
      <c r="BV24" s="81"/>
      <c r="BW24" s="82">
        <f t="shared" si="37"/>
        <v>0</v>
      </c>
      <c r="CP24" s="301"/>
    </row>
    <row r="25" spans="1:94" x14ac:dyDescent="0.25">
      <c r="A25" s="3" t="s">
        <v>188</v>
      </c>
      <c r="B25" s="3" t="s">
        <v>82</v>
      </c>
      <c r="C25" s="3" t="s">
        <v>47</v>
      </c>
      <c r="D25" s="3" t="s">
        <v>48</v>
      </c>
      <c r="E25" s="3" t="s">
        <v>48</v>
      </c>
      <c r="F25" t="s">
        <v>198</v>
      </c>
      <c r="G25" t="s">
        <v>19</v>
      </c>
      <c r="H25" s="60">
        <f t="shared" si="3"/>
        <v>0</v>
      </c>
      <c r="I25" s="60">
        <f t="shared" si="0"/>
        <v>0</v>
      </c>
      <c r="J25" s="60">
        <f t="shared" si="0"/>
        <v>0</v>
      </c>
      <c r="K25" s="60">
        <f t="shared" si="0"/>
        <v>0</v>
      </c>
      <c r="L25" s="705">
        <v>0</v>
      </c>
      <c r="N25" s="206" t="s">
        <v>541</v>
      </c>
      <c r="P25" s="66"/>
      <c r="Q25" s="195">
        <f>INDEX('Apportionment Bases'!T$6:T$33,MATCH('PC5'!$N25,'Apportionment Bases'!$A$6:$A$33,0))</f>
        <v>0</v>
      </c>
      <c r="R25" s="195">
        <f>INDEX('Apportionment Bases'!U$6:U$33,MATCH('PC5'!$N25,'Apportionment Bases'!$A$6:$A$33,0))</f>
        <v>0</v>
      </c>
      <c r="S25" s="199"/>
      <c r="T25" s="195">
        <f>INDEX('Apportionment Bases'!W$6:W$33,MATCH('PC5'!$N25,'Apportionment Bases'!$A$6:$A$33,0))</f>
        <v>1</v>
      </c>
      <c r="V25" s="66"/>
      <c r="W25" s="72">
        <f t="shared" si="38"/>
        <v>0</v>
      </c>
      <c r="X25" s="66"/>
      <c r="Y25" s="66"/>
      <c r="Z25" s="72">
        <f t="shared" si="39"/>
        <v>0</v>
      </c>
      <c r="AA25" s="266" t="str">
        <f t="shared" si="30"/>
        <v>TRUE</v>
      </c>
      <c r="AH25" s="301"/>
      <c r="AI25" s="79"/>
      <c r="AJ25" s="80">
        <f t="shared" si="40"/>
        <v>0</v>
      </c>
      <c r="AK25" s="81"/>
      <c r="AL25" s="81"/>
      <c r="AM25" s="82">
        <f t="shared" si="31"/>
        <v>0</v>
      </c>
      <c r="AN25" s="301"/>
      <c r="AO25" s="79"/>
      <c r="AP25" s="80">
        <f t="shared" si="41"/>
        <v>0</v>
      </c>
      <c r="AQ25" s="81"/>
      <c r="AR25" s="81"/>
      <c r="AS25" s="82">
        <f t="shared" si="32"/>
        <v>0</v>
      </c>
      <c r="AT25" s="301"/>
      <c r="AU25" s="79"/>
      <c r="AV25" s="80">
        <f t="shared" si="33"/>
        <v>0</v>
      </c>
      <c r="AW25" s="81"/>
      <c r="AX25" s="81"/>
      <c r="AY25" s="82">
        <f t="shared" si="34"/>
        <v>0</v>
      </c>
      <c r="AZ25" s="301"/>
      <c r="BA25" s="79"/>
      <c r="BB25" s="80">
        <f t="shared" si="42"/>
        <v>0</v>
      </c>
      <c r="BC25" s="81"/>
      <c r="BD25" s="81"/>
      <c r="BE25" s="82">
        <f t="shared" si="43"/>
        <v>0</v>
      </c>
      <c r="BF25" s="301"/>
      <c r="BS25" s="79"/>
      <c r="BT25" s="80">
        <f t="shared" si="36"/>
        <v>0</v>
      </c>
      <c r="BU25" s="81"/>
      <c r="BV25" s="81"/>
      <c r="BW25" s="82">
        <f t="shared" si="37"/>
        <v>0</v>
      </c>
      <c r="CP25" s="301"/>
    </row>
    <row r="26" spans="1:94" x14ac:dyDescent="0.25">
      <c r="A26" s="3" t="s">
        <v>188</v>
      </c>
      <c r="B26" s="3" t="s">
        <v>82</v>
      </c>
      <c r="C26" s="3" t="s">
        <v>45</v>
      </c>
      <c r="D26" s="3" t="s">
        <v>48</v>
      </c>
      <c r="E26" s="3" t="s">
        <v>48</v>
      </c>
      <c r="F26" t="s">
        <v>199</v>
      </c>
      <c r="G26" t="s">
        <v>19</v>
      </c>
      <c r="H26" s="60">
        <f t="shared" si="3"/>
        <v>5000</v>
      </c>
      <c r="I26" s="60">
        <f t="shared" si="0"/>
        <v>5000</v>
      </c>
      <c r="J26" s="60">
        <f t="shared" si="0"/>
        <v>5000</v>
      </c>
      <c r="K26" s="60">
        <f t="shared" si="0"/>
        <v>5000</v>
      </c>
      <c r="L26" s="705">
        <v>20000</v>
      </c>
      <c r="N26" s="206" t="s">
        <v>541</v>
      </c>
      <c r="P26" s="66"/>
      <c r="Q26" s="195">
        <f>INDEX('Apportionment Bases'!T$6:T$33,MATCH('PC5'!$N26,'Apportionment Bases'!$A$6:$A$33,0))</f>
        <v>0</v>
      </c>
      <c r="R26" s="195">
        <f>INDEX('Apportionment Bases'!U$6:U$33,MATCH('PC5'!$N26,'Apportionment Bases'!$A$6:$A$33,0))</f>
        <v>0</v>
      </c>
      <c r="S26" s="199"/>
      <c r="T26" s="195">
        <f>INDEX('Apportionment Bases'!W$6:W$33,MATCH('PC5'!$N26,'Apportionment Bases'!$A$6:$A$33,0))</f>
        <v>1</v>
      </c>
      <c r="V26" s="66"/>
      <c r="W26" s="72">
        <f t="shared" si="38"/>
        <v>0</v>
      </c>
      <c r="X26" s="66"/>
      <c r="Y26" s="66"/>
      <c r="Z26" s="72">
        <f t="shared" si="39"/>
        <v>20000</v>
      </c>
      <c r="AA26" s="266" t="str">
        <f t="shared" si="30"/>
        <v>TRUE</v>
      </c>
      <c r="AH26" s="301"/>
      <c r="AI26" s="79"/>
      <c r="AJ26" s="80">
        <f t="shared" si="40"/>
        <v>0</v>
      </c>
      <c r="AK26" s="81"/>
      <c r="AL26" s="81"/>
      <c r="AM26" s="82">
        <f t="shared" si="31"/>
        <v>2216</v>
      </c>
      <c r="AN26" s="301"/>
      <c r="AO26" s="79"/>
      <c r="AP26" s="80">
        <f t="shared" si="41"/>
        <v>0</v>
      </c>
      <c r="AQ26" s="81"/>
      <c r="AR26" s="81"/>
      <c r="AS26" s="82">
        <f t="shared" si="32"/>
        <v>3101.9999999999995</v>
      </c>
      <c r="AT26" s="301"/>
      <c r="AU26" s="79"/>
      <c r="AV26" s="80">
        <f t="shared" si="33"/>
        <v>0</v>
      </c>
      <c r="AW26" s="81"/>
      <c r="AX26" s="81"/>
      <c r="AY26" s="82">
        <f t="shared" si="34"/>
        <v>2494</v>
      </c>
      <c r="AZ26" s="301"/>
      <c r="BA26" s="79"/>
      <c r="BB26" s="80">
        <f t="shared" si="42"/>
        <v>0</v>
      </c>
      <c r="BC26" s="81"/>
      <c r="BD26" s="81"/>
      <c r="BE26" s="82">
        <f t="shared" si="43"/>
        <v>8864</v>
      </c>
      <c r="BF26" s="301"/>
      <c r="BS26" s="79"/>
      <c r="BT26" s="80">
        <f t="shared" si="36"/>
        <v>0</v>
      </c>
      <c r="BU26" s="81"/>
      <c r="BV26" s="81"/>
      <c r="BW26" s="82">
        <f t="shared" si="37"/>
        <v>3323.9999999999995</v>
      </c>
      <c r="CP26" s="301"/>
    </row>
    <row r="27" spans="1:94" x14ac:dyDescent="0.25">
      <c r="A27" s="3" t="s">
        <v>188</v>
      </c>
      <c r="B27" s="3" t="s">
        <v>83</v>
      </c>
      <c r="C27" s="3" t="s">
        <v>45</v>
      </c>
      <c r="D27" s="3" t="s">
        <v>48</v>
      </c>
      <c r="E27" s="3" t="s">
        <v>48</v>
      </c>
      <c r="F27" t="s">
        <v>200</v>
      </c>
      <c r="G27" t="s">
        <v>20</v>
      </c>
      <c r="H27" s="60">
        <f t="shared" si="3"/>
        <v>6876</v>
      </c>
      <c r="I27" s="60">
        <f t="shared" si="0"/>
        <v>6876</v>
      </c>
      <c r="J27" s="60">
        <f t="shared" si="0"/>
        <v>6876</v>
      </c>
      <c r="K27" s="60">
        <f t="shared" si="0"/>
        <v>6876</v>
      </c>
      <c r="L27" s="705">
        <v>27504</v>
      </c>
      <c r="N27" s="206" t="s">
        <v>541</v>
      </c>
      <c r="P27" s="66"/>
      <c r="Q27" s="195">
        <f>INDEX('Apportionment Bases'!T$6:T$33,MATCH('PC5'!$N27,'Apportionment Bases'!$A$6:$A$33,0))</f>
        <v>0</v>
      </c>
      <c r="R27" s="195">
        <f>INDEX('Apportionment Bases'!U$6:U$33,MATCH('PC5'!$N27,'Apportionment Bases'!$A$6:$A$33,0))</f>
        <v>0</v>
      </c>
      <c r="S27" s="199"/>
      <c r="T27" s="195">
        <f>INDEX('Apportionment Bases'!W$6:W$33,MATCH('PC5'!$N27,'Apportionment Bases'!$A$6:$A$33,0))</f>
        <v>1</v>
      </c>
      <c r="V27" s="66"/>
      <c r="W27" s="72">
        <f t="shared" si="38"/>
        <v>0</v>
      </c>
      <c r="X27" s="66"/>
      <c r="Y27" s="66"/>
      <c r="Z27" s="72">
        <f t="shared" si="39"/>
        <v>27504</v>
      </c>
      <c r="AA27" s="266" t="str">
        <f t="shared" si="30"/>
        <v>TRUE</v>
      </c>
      <c r="AH27" s="301"/>
      <c r="AI27" s="79"/>
      <c r="AJ27" s="80">
        <f t="shared" si="40"/>
        <v>0</v>
      </c>
      <c r="AK27" s="81"/>
      <c r="AL27" s="81"/>
      <c r="AM27" s="82">
        <f t="shared" si="31"/>
        <v>3047.4431999999997</v>
      </c>
      <c r="AN27" s="301"/>
      <c r="AO27" s="79"/>
      <c r="AP27" s="80">
        <f t="shared" si="41"/>
        <v>0</v>
      </c>
      <c r="AQ27" s="81"/>
      <c r="AR27" s="81"/>
      <c r="AS27" s="82">
        <f t="shared" si="32"/>
        <v>4265.8703999999998</v>
      </c>
      <c r="AT27" s="301"/>
      <c r="AU27" s="79"/>
      <c r="AV27" s="80">
        <f t="shared" si="33"/>
        <v>0</v>
      </c>
      <c r="AW27" s="81"/>
      <c r="AX27" s="81"/>
      <c r="AY27" s="82">
        <f t="shared" si="34"/>
        <v>3429.7488000000003</v>
      </c>
      <c r="AZ27" s="301"/>
      <c r="BA27" s="79"/>
      <c r="BB27" s="80">
        <f t="shared" si="42"/>
        <v>0</v>
      </c>
      <c r="BC27" s="81"/>
      <c r="BD27" s="81"/>
      <c r="BE27" s="82">
        <f t="shared" si="43"/>
        <v>12189.772799999999</v>
      </c>
      <c r="BF27" s="301"/>
      <c r="BS27" s="79"/>
      <c r="BT27" s="80">
        <f t="shared" si="36"/>
        <v>0</v>
      </c>
      <c r="BU27" s="81"/>
      <c r="BV27" s="81"/>
      <c r="BW27" s="82">
        <f t="shared" si="37"/>
        <v>4571.1647999999996</v>
      </c>
      <c r="CP27" s="301"/>
    </row>
    <row r="28" spans="1:94" x14ac:dyDescent="0.25">
      <c r="A28" s="3" t="s">
        <v>188</v>
      </c>
      <c r="B28" s="3" t="s">
        <v>84</v>
      </c>
      <c r="C28" s="3" t="s">
        <v>47</v>
      </c>
      <c r="D28" s="3" t="s">
        <v>48</v>
      </c>
      <c r="E28" s="3" t="s">
        <v>48</v>
      </c>
      <c r="F28" t="s">
        <v>201</v>
      </c>
      <c r="G28" t="s">
        <v>21</v>
      </c>
      <c r="H28" s="60">
        <f t="shared" si="3"/>
        <v>0</v>
      </c>
      <c r="I28" s="60">
        <f t="shared" si="0"/>
        <v>0</v>
      </c>
      <c r="J28" s="60">
        <f t="shared" si="0"/>
        <v>0</v>
      </c>
      <c r="K28" s="60">
        <f t="shared" si="0"/>
        <v>0</v>
      </c>
      <c r="L28" s="705">
        <v>0</v>
      </c>
      <c r="N28" s="206" t="s">
        <v>541</v>
      </c>
      <c r="P28" s="66"/>
      <c r="Q28" s="195">
        <f>INDEX('Apportionment Bases'!T$6:T$33,MATCH('PC5'!$N28,'Apportionment Bases'!$A$6:$A$33,0))</f>
        <v>0</v>
      </c>
      <c r="R28" s="195">
        <f>INDEX('Apportionment Bases'!U$6:U$33,MATCH('PC5'!$N28,'Apportionment Bases'!$A$6:$A$33,0))</f>
        <v>0</v>
      </c>
      <c r="S28" s="199"/>
      <c r="T28" s="195">
        <f>INDEX('Apportionment Bases'!W$6:W$33,MATCH('PC5'!$N28,'Apportionment Bases'!$A$6:$A$33,0))</f>
        <v>1</v>
      </c>
      <c r="V28" s="66"/>
      <c r="W28" s="72">
        <f t="shared" si="38"/>
        <v>0</v>
      </c>
      <c r="X28" s="66"/>
      <c r="Y28" s="66"/>
      <c r="Z28" s="72">
        <f t="shared" si="39"/>
        <v>0</v>
      </c>
      <c r="AA28" s="266" t="str">
        <f t="shared" si="30"/>
        <v>TRUE</v>
      </c>
      <c r="AH28" s="301"/>
      <c r="AI28" s="79"/>
      <c r="AJ28" s="80">
        <f t="shared" si="40"/>
        <v>0</v>
      </c>
      <c r="AK28" s="81"/>
      <c r="AL28" s="81"/>
      <c r="AM28" s="82">
        <f t="shared" si="31"/>
        <v>0</v>
      </c>
      <c r="AN28" s="301"/>
      <c r="AO28" s="79"/>
      <c r="AP28" s="80">
        <f t="shared" si="41"/>
        <v>0</v>
      </c>
      <c r="AQ28" s="81"/>
      <c r="AR28" s="81"/>
      <c r="AS28" s="82">
        <f t="shared" si="32"/>
        <v>0</v>
      </c>
      <c r="AT28" s="301"/>
      <c r="AU28" s="79"/>
      <c r="AV28" s="80">
        <f t="shared" si="33"/>
        <v>0</v>
      </c>
      <c r="AW28" s="81"/>
      <c r="AX28" s="81"/>
      <c r="AY28" s="82">
        <f t="shared" si="34"/>
        <v>0</v>
      </c>
      <c r="AZ28" s="301"/>
      <c r="BA28" s="79"/>
      <c r="BB28" s="80">
        <f t="shared" si="42"/>
        <v>0</v>
      </c>
      <c r="BC28" s="81"/>
      <c r="BD28" s="81"/>
      <c r="BE28" s="82">
        <f t="shared" si="43"/>
        <v>0</v>
      </c>
      <c r="BF28" s="301"/>
      <c r="BS28" s="79"/>
      <c r="BT28" s="80">
        <f t="shared" si="36"/>
        <v>0</v>
      </c>
      <c r="BU28" s="81"/>
      <c r="BV28" s="81"/>
      <c r="BW28" s="82">
        <f t="shared" si="37"/>
        <v>0</v>
      </c>
      <c r="CP28" s="301"/>
    </row>
    <row r="29" spans="1:94" x14ac:dyDescent="0.25">
      <c r="A29" s="3" t="s">
        <v>188</v>
      </c>
      <c r="B29" s="3" t="s">
        <v>84</v>
      </c>
      <c r="C29" s="3" t="s">
        <v>45</v>
      </c>
      <c r="D29" s="3" t="s">
        <v>48</v>
      </c>
      <c r="E29" s="3" t="s">
        <v>48</v>
      </c>
      <c r="F29" t="s">
        <v>202</v>
      </c>
      <c r="G29" t="s">
        <v>21</v>
      </c>
      <c r="H29" s="60">
        <f t="shared" si="3"/>
        <v>500</v>
      </c>
      <c r="I29" s="60">
        <f t="shared" si="0"/>
        <v>500</v>
      </c>
      <c r="J29" s="60">
        <f t="shared" si="0"/>
        <v>500</v>
      </c>
      <c r="K29" s="60">
        <f t="shared" si="0"/>
        <v>500</v>
      </c>
      <c r="L29" s="705">
        <v>2000</v>
      </c>
      <c r="N29" s="206" t="s">
        <v>541</v>
      </c>
      <c r="P29" s="66"/>
      <c r="Q29" s="195">
        <f>INDEX('Apportionment Bases'!T$6:T$33,MATCH('PC5'!$N29,'Apportionment Bases'!$A$6:$A$33,0))</f>
        <v>0</v>
      </c>
      <c r="R29" s="195">
        <f>INDEX('Apportionment Bases'!U$6:U$33,MATCH('PC5'!$N29,'Apportionment Bases'!$A$6:$A$33,0))</f>
        <v>0</v>
      </c>
      <c r="S29" s="199"/>
      <c r="T29" s="195">
        <f>INDEX('Apportionment Bases'!W$6:W$33,MATCH('PC5'!$N29,'Apportionment Bases'!$A$6:$A$33,0))</f>
        <v>1</v>
      </c>
      <c r="V29" s="66"/>
      <c r="W29" s="72">
        <f t="shared" si="38"/>
        <v>0</v>
      </c>
      <c r="X29" s="66"/>
      <c r="Y29" s="66"/>
      <c r="Z29" s="72">
        <f t="shared" si="39"/>
        <v>2000</v>
      </c>
      <c r="AA29" s="266" t="str">
        <f t="shared" si="30"/>
        <v>TRUE</v>
      </c>
      <c r="AH29" s="301"/>
      <c r="AI29" s="79"/>
      <c r="AJ29" s="80">
        <f t="shared" si="40"/>
        <v>0</v>
      </c>
      <c r="AK29" s="81"/>
      <c r="AL29" s="81"/>
      <c r="AM29" s="82">
        <f t="shared" si="31"/>
        <v>221.6</v>
      </c>
      <c r="AN29" s="301"/>
      <c r="AO29" s="79"/>
      <c r="AP29" s="80">
        <f t="shared" si="41"/>
        <v>0</v>
      </c>
      <c r="AQ29" s="81"/>
      <c r="AR29" s="81"/>
      <c r="AS29" s="82">
        <f t="shared" si="32"/>
        <v>310.2</v>
      </c>
      <c r="AT29" s="301"/>
      <c r="AU29" s="79"/>
      <c r="AV29" s="80">
        <f t="shared" si="33"/>
        <v>0</v>
      </c>
      <c r="AW29" s="81"/>
      <c r="AX29" s="81"/>
      <c r="AY29" s="82">
        <f t="shared" si="34"/>
        <v>249.4</v>
      </c>
      <c r="AZ29" s="301"/>
      <c r="BA29" s="79"/>
      <c r="BB29" s="80">
        <f t="shared" si="42"/>
        <v>0</v>
      </c>
      <c r="BC29" s="81"/>
      <c r="BD29" s="81"/>
      <c r="BE29" s="82">
        <f t="shared" si="43"/>
        <v>886.4</v>
      </c>
      <c r="BF29" s="301"/>
      <c r="BS29" s="79"/>
      <c r="BT29" s="80">
        <f t="shared" si="36"/>
        <v>0</v>
      </c>
      <c r="BU29" s="81"/>
      <c r="BV29" s="81"/>
      <c r="BW29" s="82">
        <f t="shared" si="37"/>
        <v>332.4</v>
      </c>
      <c r="CP29" s="301"/>
    </row>
    <row r="30" spans="1:94" x14ac:dyDescent="0.25">
      <c r="A30" s="3" t="s">
        <v>188</v>
      </c>
      <c r="B30" s="3" t="s">
        <v>90</v>
      </c>
      <c r="C30" s="3" t="s">
        <v>45</v>
      </c>
      <c r="D30" s="3" t="s">
        <v>48</v>
      </c>
      <c r="E30" s="3" t="s">
        <v>48</v>
      </c>
      <c r="F30" t="s">
        <v>203</v>
      </c>
      <c r="G30" t="s">
        <v>91</v>
      </c>
      <c r="H30" s="60">
        <f t="shared" si="3"/>
        <v>0</v>
      </c>
      <c r="I30" s="60">
        <f t="shared" si="0"/>
        <v>0</v>
      </c>
      <c r="J30" s="60">
        <f t="shared" si="0"/>
        <v>0</v>
      </c>
      <c r="K30" s="60">
        <f t="shared" si="0"/>
        <v>0</v>
      </c>
      <c r="L30" s="705">
        <v>0</v>
      </c>
      <c r="N30" s="206" t="s">
        <v>541</v>
      </c>
      <c r="P30" s="66"/>
      <c r="Q30" s="195">
        <f>INDEX('Apportionment Bases'!T$6:T$33,MATCH('PC5'!$N30,'Apportionment Bases'!$A$6:$A$33,0))</f>
        <v>0</v>
      </c>
      <c r="R30" s="195">
        <f>INDEX('Apportionment Bases'!U$6:U$33,MATCH('PC5'!$N30,'Apportionment Bases'!$A$6:$A$33,0))</f>
        <v>0</v>
      </c>
      <c r="S30" s="199"/>
      <c r="T30" s="195">
        <f>INDEX('Apportionment Bases'!W$6:W$33,MATCH('PC5'!$N30,'Apportionment Bases'!$A$6:$A$33,0))</f>
        <v>1</v>
      </c>
      <c r="V30" s="66"/>
      <c r="W30" s="72">
        <f t="shared" si="38"/>
        <v>0</v>
      </c>
      <c r="X30" s="66"/>
      <c r="Y30" s="66"/>
      <c r="Z30" s="72">
        <f t="shared" si="39"/>
        <v>0</v>
      </c>
      <c r="AA30" s="266" t="str">
        <f t="shared" si="30"/>
        <v>TRUE</v>
      </c>
      <c r="AH30" s="301"/>
      <c r="AI30" s="79"/>
      <c r="AJ30" s="80">
        <f t="shared" si="40"/>
        <v>0</v>
      </c>
      <c r="AK30" s="81"/>
      <c r="AL30" s="81"/>
      <c r="AM30" s="82">
        <f t="shared" si="31"/>
        <v>0</v>
      </c>
      <c r="AN30" s="301"/>
      <c r="AO30" s="79"/>
      <c r="AP30" s="80">
        <f t="shared" si="41"/>
        <v>0</v>
      </c>
      <c r="AQ30" s="81"/>
      <c r="AR30" s="81"/>
      <c r="AS30" s="82">
        <f t="shared" si="32"/>
        <v>0</v>
      </c>
      <c r="AT30" s="301"/>
      <c r="AU30" s="79"/>
      <c r="AV30" s="80">
        <f t="shared" si="33"/>
        <v>0</v>
      </c>
      <c r="AW30" s="81"/>
      <c r="AX30" s="81"/>
      <c r="AY30" s="82">
        <f t="shared" si="34"/>
        <v>0</v>
      </c>
      <c r="AZ30" s="301"/>
      <c r="BA30" s="79"/>
      <c r="BB30" s="80">
        <f t="shared" si="42"/>
        <v>0</v>
      </c>
      <c r="BC30" s="81"/>
      <c r="BD30" s="81"/>
      <c r="BE30" s="82">
        <f t="shared" si="43"/>
        <v>0</v>
      </c>
      <c r="BF30" s="301"/>
      <c r="BS30" s="79"/>
      <c r="BT30" s="80">
        <f t="shared" si="36"/>
        <v>0</v>
      </c>
      <c r="BU30" s="81"/>
      <c r="BV30" s="81"/>
      <c r="BW30" s="82">
        <f t="shared" si="37"/>
        <v>0</v>
      </c>
      <c r="CP30" s="301"/>
    </row>
    <row r="31" spans="1:94" x14ac:dyDescent="0.25">
      <c r="A31" s="3" t="s">
        <v>188</v>
      </c>
      <c r="B31" s="3" t="s">
        <v>97</v>
      </c>
      <c r="C31" s="3" t="s">
        <v>47</v>
      </c>
      <c r="D31" s="3" t="s">
        <v>48</v>
      </c>
      <c r="E31" s="3" t="s">
        <v>48</v>
      </c>
      <c r="F31" t="s">
        <v>205</v>
      </c>
      <c r="G31" t="s">
        <v>204</v>
      </c>
      <c r="H31" s="60">
        <f t="shared" si="3"/>
        <v>625</v>
      </c>
      <c r="I31" s="60">
        <f t="shared" si="0"/>
        <v>625</v>
      </c>
      <c r="J31" s="60">
        <f t="shared" si="0"/>
        <v>625</v>
      </c>
      <c r="K31" s="60">
        <f t="shared" si="0"/>
        <v>625</v>
      </c>
      <c r="L31" s="705">
        <v>2500</v>
      </c>
      <c r="N31" s="206" t="s">
        <v>541</v>
      </c>
      <c r="P31" s="66"/>
      <c r="Q31" s="195">
        <f>INDEX('Apportionment Bases'!T$6:T$33,MATCH('PC5'!$N31,'Apportionment Bases'!$A$6:$A$33,0))</f>
        <v>0</v>
      </c>
      <c r="R31" s="195">
        <f>INDEX('Apportionment Bases'!U$6:U$33,MATCH('PC5'!$N31,'Apportionment Bases'!$A$6:$A$33,0))</f>
        <v>0</v>
      </c>
      <c r="S31" s="199"/>
      <c r="T31" s="195">
        <f>INDEX('Apportionment Bases'!W$6:W$33,MATCH('PC5'!$N31,'Apportionment Bases'!$A$6:$A$33,0))</f>
        <v>1</v>
      </c>
      <c r="V31" s="66"/>
      <c r="W31" s="72">
        <f t="shared" si="38"/>
        <v>0</v>
      </c>
      <c r="X31" s="66"/>
      <c r="Y31" s="66"/>
      <c r="Z31" s="72">
        <f t="shared" si="39"/>
        <v>2500</v>
      </c>
      <c r="AA31" s="266" t="str">
        <f t="shared" si="30"/>
        <v>TRUE</v>
      </c>
      <c r="AH31" s="301"/>
      <c r="AI31" s="79"/>
      <c r="AJ31" s="80">
        <f t="shared" si="40"/>
        <v>0</v>
      </c>
      <c r="AK31" s="81"/>
      <c r="AL31" s="81"/>
      <c r="AM31" s="82">
        <f t="shared" si="31"/>
        <v>277</v>
      </c>
      <c r="AN31" s="301"/>
      <c r="AO31" s="79"/>
      <c r="AP31" s="80">
        <f t="shared" si="41"/>
        <v>0</v>
      </c>
      <c r="AQ31" s="81"/>
      <c r="AR31" s="81"/>
      <c r="AS31" s="82">
        <f t="shared" si="32"/>
        <v>387.74999999999994</v>
      </c>
      <c r="AT31" s="301"/>
      <c r="AU31" s="79"/>
      <c r="AV31" s="80">
        <f t="shared" si="33"/>
        <v>0</v>
      </c>
      <c r="AW31" s="81"/>
      <c r="AX31" s="81"/>
      <c r="AY31" s="82">
        <f t="shared" si="34"/>
        <v>311.75</v>
      </c>
      <c r="AZ31" s="301"/>
      <c r="BA31" s="79"/>
      <c r="BB31" s="80">
        <f t="shared" si="42"/>
        <v>0</v>
      </c>
      <c r="BC31" s="81"/>
      <c r="BD31" s="81"/>
      <c r="BE31" s="82">
        <f t="shared" si="43"/>
        <v>1108</v>
      </c>
      <c r="BF31" s="301"/>
      <c r="BS31" s="79"/>
      <c r="BT31" s="80">
        <f t="shared" si="36"/>
        <v>0</v>
      </c>
      <c r="BU31" s="81"/>
      <c r="BV31" s="81"/>
      <c r="BW31" s="82">
        <f t="shared" si="37"/>
        <v>415.49999999999994</v>
      </c>
      <c r="CP31" s="301"/>
    </row>
    <row r="32" spans="1:94" x14ac:dyDescent="0.25">
      <c r="A32" s="3" t="s">
        <v>188</v>
      </c>
      <c r="B32" s="3" t="s">
        <v>97</v>
      </c>
      <c r="C32" s="3" t="s">
        <v>45</v>
      </c>
      <c r="D32" s="3" t="s">
        <v>48</v>
      </c>
      <c r="E32" s="3" t="s">
        <v>48</v>
      </c>
      <c r="F32" t="s">
        <v>206</v>
      </c>
      <c r="G32" t="s">
        <v>204</v>
      </c>
      <c r="H32" s="60">
        <f t="shared" si="3"/>
        <v>0</v>
      </c>
      <c r="I32" s="60">
        <f t="shared" si="0"/>
        <v>0</v>
      </c>
      <c r="J32" s="60">
        <f t="shared" si="0"/>
        <v>0</v>
      </c>
      <c r="K32" s="60">
        <f t="shared" si="0"/>
        <v>0</v>
      </c>
      <c r="L32" s="705">
        <v>0</v>
      </c>
      <c r="N32" s="206" t="s">
        <v>541</v>
      </c>
      <c r="P32" s="66"/>
      <c r="Q32" s="195">
        <f>INDEX('Apportionment Bases'!T$6:T$33,MATCH('PC5'!$N32,'Apportionment Bases'!$A$6:$A$33,0))</f>
        <v>0</v>
      </c>
      <c r="R32" s="195">
        <f>INDEX('Apportionment Bases'!U$6:U$33,MATCH('PC5'!$N32,'Apportionment Bases'!$A$6:$A$33,0))</f>
        <v>0</v>
      </c>
      <c r="S32" s="199"/>
      <c r="T32" s="195">
        <f>INDEX('Apportionment Bases'!W$6:W$33,MATCH('PC5'!$N32,'Apportionment Bases'!$A$6:$A$33,0))</f>
        <v>1</v>
      </c>
      <c r="V32" s="66"/>
      <c r="W32" s="72">
        <f t="shared" si="38"/>
        <v>0</v>
      </c>
      <c r="X32" s="66"/>
      <c r="Y32" s="66"/>
      <c r="Z32" s="72">
        <f t="shared" si="39"/>
        <v>0</v>
      </c>
      <c r="AA32" s="266" t="str">
        <f t="shared" si="30"/>
        <v>TRUE</v>
      </c>
      <c r="AD32" s="275"/>
      <c r="AH32" s="301"/>
      <c r="AI32" s="79"/>
      <c r="AJ32" s="80">
        <f t="shared" si="40"/>
        <v>0</v>
      </c>
      <c r="AK32" s="81"/>
      <c r="AL32" s="81"/>
      <c r="AM32" s="82">
        <f t="shared" si="31"/>
        <v>0</v>
      </c>
      <c r="AN32" s="301"/>
      <c r="AO32" s="79"/>
      <c r="AP32" s="80">
        <f t="shared" si="41"/>
        <v>0</v>
      </c>
      <c r="AQ32" s="81"/>
      <c r="AR32" s="81"/>
      <c r="AS32" s="82">
        <f t="shared" si="32"/>
        <v>0</v>
      </c>
      <c r="AT32" s="301"/>
      <c r="AU32" s="79"/>
      <c r="AV32" s="80">
        <f t="shared" si="33"/>
        <v>0</v>
      </c>
      <c r="AW32" s="81"/>
      <c r="AX32" s="81"/>
      <c r="AY32" s="82">
        <f t="shared" si="34"/>
        <v>0</v>
      </c>
      <c r="AZ32" s="301"/>
      <c r="BA32" s="79"/>
      <c r="BB32" s="80">
        <f t="shared" si="42"/>
        <v>0</v>
      </c>
      <c r="BC32" s="81"/>
      <c r="BD32" s="81"/>
      <c r="BE32" s="82">
        <f t="shared" si="43"/>
        <v>0</v>
      </c>
      <c r="BF32" s="301"/>
      <c r="BS32" s="79"/>
      <c r="BT32" s="80">
        <f t="shared" si="36"/>
        <v>0</v>
      </c>
      <c r="BU32" s="81"/>
      <c r="BV32" s="81"/>
      <c r="BW32" s="82">
        <f t="shared" si="37"/>
        <v>0</v>
      </c>
      <c r="CP32" s="301"/>
    </row>
    <row r="33" spans="1:94" x14ac:dyDescent="0.25">
      <c r="A33" s="3" t="s">
        <v>188</v>
      </c>
      <c r="B33" s="3" t="s">
        <v>99</v>
      </c>
      <c r="C33" s="3" t="s">
        <v>47</v>
      </c>
      <c r="D33" s="3" t="s">
        <v>48</v>
      </c>
      <c r="E33" s="3" t="s">
        <v>48</v>
      </c>
      <c r="F33" t="s">
        <v>208</v>
      </c>
      <c r="G33" t="s">
        <v>207</v>
      </c>
      <c r="H33" s="60">
        <f t="shared" si="3"/>
        <v>1343.25</v>
      </c>
      <c r="I33" s="60">
        <f t="shared" si="3"/>
        <v>1343.25</v>
      </c>
      <c r="J33" s="60">
        <f t="shared" si="3"/>
        <v>1343.25</v>
      </c>
      <c r="K33" s="60">
        <f t="shared" si="3"/>
        <v>1343.25</v>
      </c>
      <c r="L33" s="705">
        <v>5373</v>
      </c>
      <c r="N33" s="206" t="s">
        <v>541</v>
      </c>
      <c r="P33" s="66"/>
      <c r="Q33" s="195">
        <f>INDEX('Apportionment Bases'!T$6:T$33,MATCH('PC5'!$N33,'Apportionment Bases'!$A$6:$A$33,0))</f>
        <v>0</v>
      </c>
      <c r="R33" s="195">
        <f>INDEX('Apportionment Bases'!U$6:U$33,MATCH('PC5'!$N33,'Apportionment Bases'!$A$6:$A$33,0))</f>
        <v>0</v>
      </c>
      <c r="S33" s="199"/>
      <c r="T33" s="195">
        <f>INDEX('Apportionment Bases'!W$6:W$33,MATCH('PC5'!$N33,'Apportionment Bases'!$A$6:$A$33,0))</f>
        <v>1</v>
      </c>
      <c r="V33" s="66"/>
      <c r="W33" s="72">
        <f t="shared" si="38"/>
        <v>0</v>
      </c>
      <c r="X33" s="66"/>
      <c r="Y33" s="66"/>
      <c r="Z33" s="72">
        <f t="shared" si="39"/>
        <v>5373</v>
      </c>
      <c r="AA33" s="266" t="str">
        <f t="shared" si="30"/>
        <v>TRUE</v>
      </c>
      <c r="AH33" s="301"/>
      <c r="AI33" s="79"/>
      <c r="AJ33" s="80">
        <f t="shared" si="40"/>
        <v>0</v>
      </c>
      <c r="AK33" s="81"/>
      <c r="AL33" s="81"/>
      <c r="AM33" s="82">
        <f t="shared" si="31"/>
        <v>595.32839999999999</v>
      </c>
      <c r="AN33" s="301"/>
      <c r="AO33" s="79"/>
      <c r="AP33" s="80">
        <f t="shared" si="41"/>
        <v>0</v>
      </c>
      <c r="AQ33" s="81"/>
      <c r="AR33" s="81"/>
      <c r="AS33" s="82">
        <f t="shared" si="32"/>
        <v>833.3522999999999</v>
      </c>
      <c r="AT33" s="301"/>
      <c r="AU33" s="79"/>
      <c r="AV33" s="80">
        <f t="shared" si="33"/>
        <v>0</v>
      </c>
      <c r="AW33" s="81"/>
      <c r="AX33" s="81"/>
      <c r="AY33" s="82">
        <f t="shared" si="34"/>
        <v>670.01310000000001</v>
      </c>
      <c r="AZ33" s="301"/>
      <c r="BA33" s="79"/>
      <c r="BB33" s="80">
        <f t="shared" si="42"/>
        <v>0</v>
      </c>
      <c r="BC33" s="81"/>
      <c r="BD33" s="81"/>
      <c r="BE33" s="82">
        <f t="shared" si="43"/>
        <v>2381.3136</v>
      </c>
      <c r="BF33" s="301"/>
      <c r="BS33" s="79"/>
      <c r="BT33" s="80">
        <f t="shared" si="36"/>
        <v>0</v>
      </c>
      <c r="BU33" s="81"/>
      <c r="BV33" s="81"/>
      <c r="BW33" s="82">
        <f t="shared" si="37"/>
        <v>892.99259999999992</v>
      </c>
      <c r="CP33" s="301"/>
    </row>
    <row r="34" spans="1:94" x14ac:dyDescent="0.25">
      <c r="A34" s="3" t="s">
        <v>188</v>
      </c>
      <c r="B34" s="3" t="s">
        <v>99</v>
      </c>
      <c r="C34" s="3" t="s">
        <v>45</v>
      </c>
      <c r="D34" s="3" t="s">
        <v>48</v>
      </c>
      <c r="E34" s="3" t="s">
        <v>48</v>
      </c>
      <c r="F34" t="s">
        <v>209</v>
      </c>
      <c r="G34" t="s">
        <v>100</v>
      </c>
      <c r="H34" s="60">
        <f t="shared" si="3"/>
        <v>0</v>
      </c>
      <c r="I34" s="60">
        <f t="shared" si="3"/>
        <v>0</v>
      </c>
      <c r="J34" s="60">
        <f t="shared" si="3"/>
        <v>0</v>
      </c>
      <c r="K34" s="60">
        <f t="shared" si="3"/>
        <v>0</v>
      </c>
      <c r="L34" s="705">
        <v>0</v>
      </c>
      <c r="N34" s="206" t="s">
        <v>541</v>
      </c>
      <c r="P34" s="66"/>
      <c r="Q34" s="195">
        <f>INDEX('Apportionment Bases'!T$6:T$33,MATCH('PC5'!$N34,'Apportionment Bases'!$A$6:$A$33,0))</f>
        <v>0</v>
      </c>
      <c r="R34" s="195">
        <f>INDEX('Apportionment Bases'!U$6:U$33,MATCH('PC5'!$N34,'Apportionment Bases'!$A$6:$A$33,0))</f>
        <v>0</v>
      </c>
      <c r="S34" s="199"/>
      <c r="T34" s="195">
        <f>INDEX('Apportionment Bases'!W$6:W$33,MATCH('PC5'!$N34,'Apportionment Bases'!$A$6:$A$33,0))</f>
        <v>1</v>
      </c>
      <c r="V34" s="66"/>
      <c r="W34" s="72">
        <f t="shared" si="38"/>
        <v>0</v>
      </c>
      <c r="X34" s="66"/>
      <c r="Y34" s="66"/>
      <c r="Z34" s="72">
        <f t="shared" si="39"/>
        <v>0</v>
      </c>
      <c r="AA34" s="266" t="str">
        <f t="shared" si="30"/>
        <v>TRUE</v>
      </c>
      <c r="AH34" s="301"/>
      <c r="AI34" s="79"/>
      <c r="AJ34" s="80">
        <f t="shared" si="40"/>
        <v>0</v>
      </c>
      <c r="AK34" s="81"/>
      <c r="AL34" s="81"/>
      <c r="AM34" s="82">
        <f t="shared" si="31"/>
        <v>0</v>
      </c>
      <c r="AN34" s="301"/>
      <c r="AO34" s="79"/>
      <c r="AP34" s="80">
        <f t="shared" si="41"/>
        <v>0</v>
      </c>
      <c r="AQ34" s="81"/>
      <c r="AR34" s="81"/>
      <c r="AS34" s="82">
        <f t="shared" si="32"/>
        <v>0</v>
      </c>
      <c r="AT34" s="301"/>
      <c r="AU34" s="79"/>
      <c r="AV34" s="80">
        <f t="shared" si="33"/>
        <v>0</v>
      </c>
      <c r="AW34" s="81"/>
      <c r="AX34" s="81"/>
      <c r="AY34" s="82">
        <f t="shared" si="34"/>
        <v>0</v>
      </c>
      <c r="AZ34" s="301"/>
      <c r="BA34" s="79"/>
      <c r="BB34" s="80">
        <f t="shared" si="42"/>
        <v>0</v>
      </c>
      <c r="BC34" s="81"/>
      <c r="BD34" s="81"/>
      <c r="BE34" s="82">
        <f t="shared" si="43"/>
        <v>0</v>
      </c>
      <c r="BF34" s="301"/>
      <c r="BS34" s="79"/>
      <c r="BT34" s="80">
        <f t="shared" si="36"/>
        <v>0</v>
      </c>
      <c r="BU34" s="81"/>
      <c r="BV34" s="81"/>
      <c r="BW34" s="82">
        <f t="shared" si="37"/>
        <v>0</v>
      </c>
      <c r="CP34" s="301"/>
    </row>
    <row r="35" spans="1:94" x14ac:dyDescent="0.25">
      <c r="A35" s="3" t="s">
        <v>188</v>
      </c>
      <c r="B35" s="3" t="s">
        <v>105</v>
      </c>
      <c r="C35" s="3" t="s">
        <v>45</v>
      </c>
      <c r="D35" s="3" t="s">
        <v>48</v>
      </c>
      <c r="E35" s="3" t="s">
        <v>48</v>
      </c>
      <c r="F35" t="s">
        <v>210</v>
      </c>
      <c r="G35" t="s">
        <v>106</v>
      </c>
      <c r="H35" s="60">
        <f t="shared" si="3"/>
        <v>32</v>
      </c>
      <c r="I35" s="60">
        <f t="shared" si="3"/>
        <v>32</v>
      </c>
      <c r="J35" s="60">
        <f t="shared" si="3"/>
        <v>32</v>
      </c>
      <c r="K35" s="60">
        <f t="shared" si="3"/>
        <v>32</v>
      </c>
      <c r="L35" s="705">
        <v>128</v>
      </c>
      <c r="N35" s="206" t="s">
        <v>541</v>
      </c>
      <c r="P35" s="66"/>
      <c r="Q35" s="195">
        <f>INDEX('Apportionment Bases'!T$6:T$33,MATCH('PC5'!$N35,'Apportionment Bases'!$A$6:$A$33,0))</f>
        <v>0</v>
      </c>
      <c r="R35" s="195">
        <f>INDEX('Apportionment Bases'!U$6:U$33,MATCH('PC5'!$N35,'Apportionment Bases'!$A$6:$A$33,0))</f>
        <v>0</v>
      </c>
      <c r="S35" s="199"/>
      <c r="T35" s="195">
        <f>INDEX('Apportionment Bases'!W$6:W$33,MATCH('PC5'!$N35,'Apportionment Bases'!$A$6:$A$33,0))</f>
        <v>1</v>
      </c>
      <c r="V35" s="66"/>
      <c r="W35" s="72">
        <f t="shared" si="38"/>
        <v>0</v>
      </c>
      <c r="X35" s="66"/>
      <c r="Y35" s="66"/>
      <c r="Z35" s="72">
        <f t="shared" si="39"/>
        <v>128</v>
      </c>
      <c r="AA35" s="266" t="str">
        <f t="shared" si="30"/>
        <v>TRUE</v>
      </c>
      <c r="AH35" s="301"/>
      <c r="AI35" s="79"/>
      <c r="AJ35" s="80">
        <f t="shared" si="40"/>
        <v>0</v>
      </c>
      <c r="AK35" s="81"/>
      <c r="AL35" s="81"/>
      <c r="AM35" s="82">
        <f t="shared" si="31"/>
        <v>14.182399999999999</v>
      </c>
      <c r="AN35" s="301"/>
      <c r="AO35" s="79"/>
      <c r="AP35" s="80">
        <f t="shared" si="41"/>
        <v>0</v>
      </c>
      <c r="AQ35" s="81"/>
      <c r="AR35" s="81"/>
      <c r="AS35" s="82">
        <f t="shared" si="32"/>
        <v>19.852799999999998</v>
      </c>
      <c r="AT35" s="301"/>
      <c r="AU35" s="79"/>
      <c r="AV35" s="80">
        <f t="shared" si="33"/>
        <v>0</v>
      </c>
      <c r="AW35" s="81"/>
      <c r="AX35" s="81"/>
      <c r="AY35" s="82">
        <f t="shared" si="34"/>
        <v>15.961600000000001</v>
      </c>
      <c r="AZ35" s="301"/>
      <c r="BA35" s="79"/>
      <c r="BB35" s="80">
        <f t="shared" si="42"/>
        <v>0</v>
      </c>
      <c r="BC35" s="81"/>
      <c r="BD35" s="81"/>
      <c r="BE35" s="82">
        <f t="shared" si="43"/>
        <v>56.729599999999998</v>
      </c>
      <c r="BF35" s="301"/>
      <c r="BS35" s="79"/>
      <c r="BT35" s="80">
        <f t="shared" si="36"/>
        <v>0</v>
      </c>
      <c r="BU35" s="81"/>
      <c r="BV35" s="81"/>
      <c r="BW35" s="82">
        <f t="shared" si="37"/>
        <v>21.273599999999998</v>
      </c>
      <c r="CP35" s="301"/>
    </row>
    <row r="36" spans="1:94" x14ac:dyDescent="0.25">
      <c r="A36" s="3" t="s">
        <v>188</v>
      </c>
      <c r="B36" s="3" t="s">
        <v>111</v>
      </c>
      <c r="C36" s="3" t="s">
        <v>45</v>
      </c>
      <c r="D36" s="3" t="s">
        <v>48</v>
      </c>
      <c r="E36" s="3" t="s">
        <v>48</v>
      </c>
      <c r="F36" t="s">
        <v>211</v>
      </c>
      <c r="G36" t="s">
        <v>112</v>
      </c>
      <c r="H36" s="60">
        <f t="shared" si="3"/>
        <v>621</v>
      </c>
      <c r="I36" s="60">
        <f t="shared" si="3"/>
        <v>621</v>
      </c>
      <c r="J36" s="60">
        <f t="shared" si="3"/>
        <v>621</v>
      </c>
      <c r="K36" s="60">
        <f t="shared" si="3"/>
        <v>621</v>
      </c>
      <c r="L36" s="705">
        <v>2484</v>
      </c>
      <c r="N36" s="206" t="s">
        <v>541</v>
      </c>
      <c r="P36" s="66"/>
      <c r="Q36" s="195">
        <f>INDEX('Apportionment Bases'!T$6:T$33,MATCH('PC5'!$N36,'Apportionment Bases'!$A$6:$A$33,0))</f>
        <v>0</v>
      </c>
      <c r="R36" s="195">
        <f>INDEX('Apportionment Bases'!U$6:U$33,MATCH('PC5'!$N36,'Apportionment Bases'!$A$6:$A$33,0))</f>
        <v>0</v>
      </c>
      <c r="S36" s="199"/>
      <c r="T36" s="195">
        <f>INDEX('Apportionment Bases'!W$6:W$33,MATCH('PC5'!$N36,'Apportionment Bases'!$A$6:$A$33,0))</f>
        <v>1</v>
      </c>
      <c r="V36" s="66"/>
      <c r="W36" s="72">
        <f t="shared" si="38"/>
        <v>0</v>
      </c>
      <c r="X36" s="66"/>
      <c r="Y36" s="66"/>
      <c r="Z36" s="72">
        <f t="shared" si="39"/>
        <v>2484</v>
      </c>
      <c r="AA36" s="266" t="str">
        <f t="shared" si="30"/>
        <v>TRUE</v>
      </c>
      <c r="AH36" s="301"/>
      <c r="AI36" s="79"/>
      <c r="AJ36" s="80">
        <f t="shared" si="40"/>
        <v>0</v>
      </c>
      <c r="AK36" s="81"/>
      <c r="AL36" s="81"/>
      <c r="AM36" s="82">
        <f t="shared" si="31"/>
        <v>275.22719999999998</v>
      </c>
      <c r="AN36" s="301"/>
      <c r="AO36" s="79"/>
      <c r="AP36" s="80">
        <f t="shared" si="41"/>
        <v>0</v>
      </c>
      <c r="AQ36" s="81"/>
      <c r="AR36" s="81"/>
      <c r="AS36" s="82">
        <f t="shared" si="32"/>
        <v>385.26839999999999</v>
      </c>
      <c r="AT36" s="301"/>
      <c r="AU36" s="79"/>
      <c r="AV36" s="80">
        <f t="shared" si="33"/>
        <v>0</v>
      </c>
      <c r="AW36" s="81"/>
      <c r="AX36" s="81"/>
      <c r="AY36" s="82">
        <f t="shared" si="34"/>
        <v>309.75479999999999</v>
      </c>
      <c r="AZ36" s="301"/>
      <c r="BA36" s="79"/>
      <c r="BB36" s="80">
        <f t="shared" si="42"/>
        <v>0</v>
      </c>
      <c r="BC36" s="81"/>
      <c r="BD36" s="81"/>
      <c r="BE36" s="82">
        <f t="shared" si="43"/>
        <v>1100.9087999999999</v>
      </c>
      <c r="BF36" s="301"/>
      <c r="BS36" s="79"/>
      <c r="BT36" s="80">
        <f t="shared" si="36"/>
        <v>0</v>
      </c>
      <c r="BU36" s="81"/>
      <c r="BV36" s="81"/>
      <c r="BW36" s="82">
        <f t="shared" si="37"/>
        <v>412.84079999999994</v>
      </c>
      <c r="CP36" s="301"/>
    </row>
    <row r="37" spans="1:94" x14ac:dyDescent="0.25">
      <c r="A37" s="3" t="s">
        <v>188</v>
      </c>
      <c r="B37" s="3" t="s">
        <v>113</v>
      </c>
      <c r="C37" s="3" t="s">
        <v>45</v>
      </c>
      <c r="D37" s="3" t="s">
        <v>48</v>
      </c>
      <c r="E37" s="3" t="s">
        <v>48</v>
      </c>
      <c r="F37" t="s">
        <v>213</v>
      </c>
      <c r="G37" t="s">
        <v>212</v>
      </c>
      <c r="H37" s="60">
        <f t="shared" si="3"/>
        <v>0</v>
      </c>
      <c r="I37" s="60">
        <f t="shared" si="3"/>
        <v>0</v>
      </c>
      <c r="J37" s="60">
        <f t="shared" si="3"/>
        <v>0</v>
      </c>
      <c r="K37" s="60">
        <f t="shared" si="3"/>
        <v>0</v>
      </c>
      <c r="L37" s="705">
        <v>0</v>
      </c>
      <c r="N37" s="206" t="s">
        <v>541</v>
      </c>
      <c r="P37" s="66"/>
      <c r="Q37" s="195">
        <f>INDEX('Apportionment Bases'!T$6:T$33,MATCH('PC5'!$N37,'Apportionment Bases'!$A$6:$A$33,0))</f>
        <v>0</v>
      </c>
      <c r="R37" s="195">
        <f>INDEX('Apportionment Bases'!U$6:U$33,MATCH('PC5'!$N37,'Apportionment Bases'!$A$6:$A$33,0))</f>
        <v>0</v>
      </c>
      <c r="S37" s="199"/>
      <c r="T37" s="195">
        <f>INDEX('Apportionment Bases'!W$6:W$33,MATCH('PC5'!$N37,'Apportionment Bases'!$A$6:$A$33,0))</f>
        <v>1</v>
      </c>
      <c r="V37" s="66"/>
      <c r="W37" s="72">
        <f t="shared" si="38"/>
        <v>0</v>
      </c>
      <c r="X37" s="66"/>
      <c r="Y37" s="66"/>
      <c r="Z37" s="72">
        <f t="shared" si="39"/>
        <v>0</v>
      </c>
      <c r="AA37" s="266" t="str">
        <f t="shared" si="30"/>
        <v>TRUE</v>
      </c>
      <c r="AH37" s="301"/>
      <c r="AI37" s="79"/>
      <c r="AJ37" s="80">
        <f t="shared" si="40"/>
        <v>0</v>
      </c>
      <c r="AK37" s="81"/>
      <c r="AL37" s="81"/>
      <c r="AM37" s="82">
        <f t="shared" si="31"/>
        <v>0</v>
      </c>
      <c r="AN37" s="301"/>
      <c r="AO37" s="79"/>
      <c r="AP37" s="80">
        <f t="shared" si="41"/>
        <v>0</v>
      </c>
      <c r="AQ37" s="81"/>
      <c r="AR37" s="81"/>
      <c r="AS37" s="82">
        <f t="shared" si="32"/>
        <v>0</v>
      </c>
      <c r="AT37" s="301"/>
      <c r="AU37" s="79"/>
      <c r="AV37" s="80">
        <f t="shared" si="33"/>
        <v>0</v>
      </c>
      <c r="AW37" s="81"/>
      <c r="AX37" s="81"/>
      <c r="AY37" s="82">
        <f t="shared" si="34"/>
        <v>0</v>
      </c>
      <c r="AZ37" s="301"/>
      <c r="BA37" s="79"/>
      <c r="BB37" s="80">
        <f t="shared" si="42"/>
        <v>0</v>
      </c>
      <c r="BC37" s="81"/>
      <c r="BD37" s="81"/>
      <c r="BE37" s="82">
        <f t="shared" si="43"/>
        <v>0</v>
      </c>
      <c r="BF37" s="301"/>
      <c r="BS37" s="79"/>
      <c r="BT37" s="80">
        <f t="shared" si="36"/>
        <v>0</v>
      </c>
      <c r="BU37" s="81"/>
      <c r="BV37" s="81"/>
      <c r="BW37" s="82">
        <f t="shared" si="37"/>
        <v>0</v>
      </c>
      <c r="CP37" s="301"/>
    </row>
    <row r="38" spans="1:94" x14ac:dyDescent="0.25">
      <c r="A38" s="3" t="s">
        <v>188</v>
      </c>
      <c r="B38" s="3" t="s">
        <v>115</v>
      </c>
      <c r="C38" s="3" t="s">
        <v>45</v>
      </c>
      <c r="D38" s="3" t="s">
        <v>48</v>
      </c>
      <c r="E38" s="3" t="s">
        <v>48</v>
      </c>
      <c r="F38" t="s">
        <v>214</v>
      </c>
      <c r="G38" t="s">
        <v>116</v>
      </c>
      <c r="H38" s="60">
        <f t="shared" si="3"/>
        <v>4000</v>
      </c>
      <c r="I38" s="60">
        <f t="shared" si="3"/>
        <v>4000</v>
      </c>
      <c r="J38" s="60">
        <f t="shared" si="3"/>
        <v>4000</v>
      </c>
      <c r="K38" s="60">
        <f t="shared" si="3"/>
        <v>4000</v>
      </c>
      <c r="L38" s="705">
        <v>16000</v>
      </c>
      <c r="N38" s="206" t="s">
        <v>541</v>
      </c>
      <c r="P38" s="66"/>
      <c r="Q38" s="195">
        <f>INDEX('Apportionment Bases'!T$6:T$33,MATCH('PC5'!$N38,'Apportionment Bases'!$A$6:$A$33,0))</f>
        <v>0</v>
      </c>
      <c r="R38" s="195">
        <f>INDEX('Apportionment Bases'!U$6:U$33,MATCH('PC5'!$N38,'Apportionment Bases'!$A$6:$A$33,0))</f>
        <v>0</v>
      </c>
      <c r="S38" s="199"/>
      <c r="T38" s="195">
        <f>INDEX('Apportionment Bases'!W$6:W$33,MATCH('PC5'!$N38,'Apportionment Bases'!$A$6:$A$33,0))</f>
        <v>1</v>
      </c>
      <c r="V38" s="66"/>
      <c r="W38" s="72">
        <f t="shared" si="38"/>
        <v>0</v>
      </c>
      <c r="X38" s="66"/>
      <c r="Y38" s="66"/>
      <c r="Z38" s="72">
        <f t="shared" si="39"/>
        <v>16000</v>
      </c>
      <c r="AA38" s="266" t="str">
        <f t="shared" si="30"/>
        <v>TRUE</v>
      </c>
      <c r="AH38" s="301"/>
      <c r="AI38" s="79"/>
      <c r="AJ38" s="80">
        <f t="shared" si="40"/>
        <v>0</v>
      </c>
      <c r="AK38" s="81"/>
      <c r="AL38" s="81"/>
      <c r="AM38" s="82">
        <f t="shared" si="31"/>
        <v>1772.8</v>
      </c>
      <c r="AN38" s="301"/>
      <c r="AO38" s="79"/>
      <c r="AP38" s="80">
        <f t="shared" si="41"/>
        <v>0</v>
      </c>
      <c r="AQ38" s="81"/>
      <c r="AR38" s="81"/>
      <c r="AS38" s="82">
        <f t="shared" si="32"/>
        <v>2481.6</v>
      </c>
      <c r="AT38" s="301"/>
      <c r="AU38" s="79"/>
      <c r="AV38" s="80">
        <f t="shared" si="33"/>
        <v>0</v>
      </c>
      <c r="AW38" s="81"/>
      <c r="AX38" s="81"/>
      <c r="AY38" s="82">
        <f t="shared" si="34"/>
        <v>1995.2</v>
      </c>
      <c r="AZ38" s="301"/>
      <c r="BA38" s="79"/>
      <c r="BB38" s="80">
        <f t="shared" si="42"/>
        <v>0</v>
      </c>
      <c r="BC38" s="81"/>
      <c r="BD38" s="81"/>
      <c r="BE38" s="82">
        <f t="shared" si="43"/>
        <v>7091.2</v>
      </c>
      <c r="BF38" s="301"/>
      <c r="BS38" s="79"/>
      <c r="BT38" s="80">
        <f t="shared" si="36"/>
        <v>0</v>
      </c>
      <c r="BU38" s="81"/>
      <c r="BV38" s="81"/>
      <c r="BW38" s="82">
        <f t="shared" si="37"/>
        <v>2659.2</v>
      </c>
      <c r="CP38" s="301"/>
    </row>
    <row r="39" spans="1:94" s="46" customFormat="1" x14ac:dyDescent="0.25">
      <c r="A39" s="3" t="s">
        <v>188</v>
      </c>
      <c r="B39" s="3" t="s">
        <v>119</v>
      </c>
      <c r="C39" s="3" t="s">
        <v>45</v>
      </c>
      <c r="D39" s="3" t="s">
        <v>48</v>
      </c>
      <c r="E39" s="3" t="s">
        <v>48</v>
      </c>
      <c r="F39" t="s">
        <v>215</v>
      </c>
      <c r="G39" t="s">
        <v>120</v>
      </c>
      <c r="H39">
        <f t="shared" si="3"/>
        <v>36250</v>
      </c>
      <c r="I39">
        <f t="shared" si="3"/>
        <v>36250</v>
      </c>
      <c r="J39">
        <f t="shared" si="3"/>
        <v>36250</v>
      </c>
      <c r="K39">
        <f t="shared" si="3"/>
        <v>36250</v>
      </c>
      <c r="L39" s="705">
        <v>145000</v>
      </c>
      <c r="N39" s="206" t="s">
        <v>542</v>
      </c>
      <c r="P39" s="66"/>
      <c r="Q39" s="195">
        <f>INDEX('Apportionment Bases'!T$6:T$33,MATCH('PC5'!$N39,'Apportionment Bases'!$A$6:$A$33,0))</f>
        <v>1</v>
      </c>
      <c r="R39" s="195">
        <f>INDEX('Apportionment Bases'!U$6:U$33,MATCH('PC5'!$N39,'Apportionment Bases'!$A$6:$A$33,0))</f>
        <v>0</v>
      </c>
      <c r="S39" s="199"/>
      <c r="T39" s="195">
        <f>INDEX('Apportionment Bases'!W$6:W$33,MATCH('PC5'!$N39,'Apportionment Bases'!$A$6:$A$33,0))</f>
        <v>0</v>
      </c>
      <c r="U39" s="56"/>
      <c r="V39" s="66"/>
      <c r="W39" s="72">
        <f t="shared" si="38"/>
        <v>145000</v>
      </c>
      <c r="X39" s="66"/>
      <c r="Y39" s="66"/>
      <c r="Z39" s="72">
        <f t="shared" si="39"/>
        <v>0</v>
      </c>
      <c r="AA39" s="266" t="str">
        <f t="shared" si="30"/>
        <v>TRUE</v>
      </c>
      <c r="AH39" s="319"/>
      <c r="AI39" s="79"/>
      <c r="AJ39" s="80">
        <f t="shared" si="40"/>
        <v>29014.5</v>
      </c>
      <c r="AK39" s="81"/>
      <c r="AL39" s="81"/>
      <c r="AM39" s="82">
        <f t="shared" si="31"/>
        <v>0</v>
      </c>
      <c r="AN39" s="319"/>
      <c r="AO39" s="79"/>
      <c r="AP39" s="80">
        <f t="shared" si="41"/>
        <v>24882</v>
      </c>
      <c r="AQ39" s="81"/>
      <c r="AR39" s="81"/>
      <c r="AS39" s="82">
        <f t="shared" si="32"/>
        <v>0</v>
      </c>
      <c r="AT39" s="319"/>
      <c r="AU39" s="79"/>
      <c r="AV39" s="80">
        <f t="shared" si="33"/>
        <v>21503.499999999996</v>
      </c>
      <c r="AW39" s="81"/>
      <c r="AX39" s="81"/>
      <c r="AY39" s="82">
        <f t="shared" si="34"/>
        <v>0</v>
      </c>
      <c r="AZ39" s="319"/>
      <c r="BA39" s="79"/>
      <c r="BB39" s="80">
        <f t="shared" si="42"/>
        <v>38323.5</v>
      </c>
      <c r="BC39" s="81"/>
      <c r="BD39" s="81"/>
      <c r="BE39" s="82">
        <f t="shared" si="43"/>
        <v>0</v>
      </c>
      <c r="BF39" s="319"/>
      <c r="BL39" s="56"/>
      <c r="BR39" s="56"/>
      <c r="BS39" s="79"/>
      <c r="BT39" s="80">
        <f t="shared" si="36"/>
        <v>31276.5</v>
      </c>
      <c r="BU39" s="81"/>
      <c r="BV39" s="81"/>
      <c r="BW39" s="82">
        <f t="shared" si="37"/>
        <v>0</v>
      </c>
      <c r="BX39" s="56"/>
      <c r="CD39" s="56"/>
      <c r="CJ39" s="56"/>
      <c r="CP39" s="319"/>
    </row>
    <row r="40" spans="1:94" x14ac:dyDescent="0.25">
      <c r="A40" s="3" t="s">
        <v>188</v>
      </c>
      <c r="B40" s="3" t="s">
        <v>216</v>
      </c>
      <c r="C40" s="3" t="s">
        <v>45</v>
      </c>
      <c r="D40" s="3" t="s">
        <v>48</v>
      </c>
      <c r="E40" s="3" t="s">
        <v>48</v>
      </c>
      <c r="F40" t="s">
        <v>217</v>
      </c>
      <c r="G40" t="s">
        <v>24</v>
      </c>
      <c r="H40" s="60">
        <f t="shared" si="3"/>
        <v>5000</v>
      </c>
      <c r="I40" s="60">
        <f t="shared" si="3"/>
        <v>5000</v>
      </c>
      <c r="J40" s="60">
        <f t="shared" si="3"/>
        <v>5000</v>
      </c>
      <c r="K40" s="60">
        <f t="shared" si="3"/>
        <v>5000</v>
      </c>
      <c r="L40" s="705">
        <v>20000</v>
      </c>
      <c r="N40" s="206" t="s">
        <v>541</v>
      </c>
      <c r="P40" s="66"/>
      <c r="Q40" s="195">
        <f>INDEX('Apportionment Bases'!T$6:T$33,MATCH('PC5'!$N40,'Apportionment Bases'!$A$6:$A$33,0))</f>
        <v>0</v>
      </c>
      <c r="R40" s="195">
        <f>INDEX('Apportionment Bases'!U$6:U$33,MATCH('PC5'!$N40,'Apportionment Bases'!$A$6:$A$33,0))</f>
        <v>0</v>
      </c>
      <c r="S40" s="199"/>
      <c r="T40" s="195">
        <f>INDEX('Apportionment Bases'!W$6:W$33,MATCH('PC5'!$N40,'Apportionment Bases'!$A$6:$A$33,0))</f>
        <v>1</v>
      </c>
      <c r="V40" s="66"/>
      <c r="W40" s="72">
        <f t="shared" si="38"/>
        <v>0</v>
      </c>
      <c r="X40" s="66"/>
      <c r="Y40" s="66"/>
      <c r="Z40" s="72">
        <f t="shared" si="39"/>
        <v>20000</v>
      </c>
      <c r="AA40" s="266" t="str">
        <f t="shared" si="30"/>
        <v>TRUE</v>
      </c>
      <c r="AH40" s="301"/>
      <c r="AI40" s="79"/>
      <c r="AJ40" s="80">
        <f t="shared" si="40"/>
        <v>0</v>
      </c>
      <c r="AK40" s="81"/>
      <c r="AL40" s="81"/>
      <c r="AM40" s="82">
        <f t="shared" si="31"/>
        <v>2216</v>
      </c>
      <c r="AN40" s="301"/>
      <c r="AO40" s="79"/>
      <c r="AP40" s="80">
        <f t="shared" si="41"/>
        <v>0</v>
      </c>
      <c r="AQ40" s="81"/>
      <c r="AR40" s="81"/>
      <c r="AS40" s="82">
        <f t="shared" si="32"/>
        <v>3101.9999999999995</v>
      </c>
      <c r="AT40" s="301"/>
      <c r="AU40" s="79"/>
      <c r="AV40" s="80">
        <f t="shared" si="33"/>
        <v>0</v>
      </c>
      <c r="AW40" s="81"/>
      <c r="AX40" s="81"/>
      <c r="AY40" s="82">
        <f t="shared" si="34"/>
        <v>2494</v>
      </c>
      <c r="AZ40" s="301"/>
      <c r="BA40" s="79"/>
      <c r="BB40" s="80">
        <f t="shared" si="42"/>
        <v>0</v>
      </c>
      <c r="BC40" s="81"/>
      <c r="BD40" s="81"/>
      <c r="BE40" s="82">
        <f t="shared" si="43"/>
        <v>8864</v>
      </c>
      <c r="BF40" s="301"/>
      <c r="BS40" s="79"/>
      <c r="BT40" s="80">
        <f t="shared" si="36"/>
        <v>0</v>
      </c>
      <c r="BU40" s="81"/>
      <c r="BV40" s="81"/>
      <c r="BW40" s="82">
        <f t="shared" si="37"/>
        <v>3323.9999999999995</v>
      </c>
      <c r="CP40" s="301"/>
    </row>
    <row r="41" spans="1:94" x14ac:dyDescent="0.25">
      <c r="A41" s="3" t="s">
        <v>188</v>
      </c>
      <c r="B41" s="3" t="s">
        <v>218</v>
      </c>
      <c r="C41" s="3" t="s">
        <v>45</v>
      </c>
      <c r="D41" s="3" t="s">
        <v>48</v>
      </c>
      <c r="E41" s="3" t="s">
        <v>48</v>
      </c>
      <c r="F41" t="s">
        <v>219</v>
      </c>
      <c r="G41" t="s">
        <v>25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0</v>
      </c>
      <c r="L41" s="705">
        <v>0</v>
      </c>
      <c r="N41" s="206" t="s">
        <v>541</v>
      </c>
      <c r="P41" s="66"/>
      <c r="Q41" s="195">
        <f>INDEX('Apportionment Bases'!T$6:T$33,MATCH('PC5'!$N41,'Apportionment Bases'!$A$6:$A$33,0))</f>
        <v>0</v>
      </c>
      <c r="R41" s="195">
        <f>INDEX('Apportionment Bases'!U$6:U$33,MATCH('PC5'!$N41,'Apportionment Bases'!$A$6:$A$33,0))</f>
        <v>0</v>
      </c>
      <c r="S41" s="199"/>
      <c r="T41" s="195">
        <f>INDEX('Apportionment Bases'!W$6:W$33,MATCH('PC5'!$N41,'Apportionment Bases'!$A$6:$A$33,0))</f>
        <v>1</v>
      </c>
      <c r="V41" s="66"/>
      <c r="W41" s="72">
        <f t="shared" si="38"/>
        <v>0</v>
      </c>
      <c r="X41" s="66"/>
      <c r="Y41" s="66"/>
      <c r="Z41" s="72">
        <f t="shared" si="39"/>
        <v>0</v>
      </c>
      <c r="AA41" s="266" t="str">
        <f t="shared" si="30"/>
        <v>TRUE</v>
      </c>
      <c r="AH41" s="301"/>
      <c r="AI41" s="79"/>
      <c r="AJ41" s="80">
        <f t="shared" si="40"/>
        <v>0</v>
      </c>
      <c r="AK41" s="81"/>
      <c r="AL41" s="81"/>
      <c r="AM41" s="82">
        <f t="shared" si="31"/>
        <v>0</v>
      </c>
      <c r="AN41" s="301"/>
      <c r="AO41" s="79"/>
      <c r="AP41" s="80">
        <f t="shared" si="41"/>
        <v>0</v>
      </c>
      <c r="AQ41" s="81"/>
      <c r="AR41" s="81"/>
      <c r="AS41" s="82">
        <f t="shared" si="32"/>
        <v>0</v>
      </c>
      <c r="AT41" s="301"/>
      <c r="AU41" s="79"/>
      <c r="AV41" s="80">
        <f t="shared" si="33"/>
        <v>0</v>
      </c>
      <c r="AW41" s="81"/>
      <c r="AX41" s="81"/>
      <c r="AY41" s="82">
        <f t="shared" si="34"/>
        <v>0</v>
      </c>
      <c r="AZ41" s="301"/>
      <c r="BA41" s="79"/>
      <c r="BB41" s="80">
        <f t="shared" si="42"/>
        <v>0</v>
      </c>
      <c r="BC41" s="81"/>
      <c r="BD41" s="81"/>
      <c r="BE41" s="82">
        <f t="shared" si="43"/>
        <v>0</v>
      </c>
      <c r="BF41" s="301"/>
      <c r="BS41" s="79"/>
      <c r="BT41" s="80">
        <f t="shared" si="36"/>
        <v>0</v>
      </c>
      <c r="BU41" s="81"/>
      <c r="BV41" s="81"/>
      <c r="BW41" s="82">
        <f t="shared" si="37"/>
        <v>0</v>
      </c>
      <c r="CP41" s="301"/>
    </row>
    <row r="42" spans="1:94" x14ac:dyDescent="0.25">
      <c r="A42" s="3" t="s">
        <v>188</v>
      </c>
      <c r="B42" s="3" t="s">
        <v>220</v>
      </c>
      <c r="C42" s="3" t="s">
        <v>45</v>
      </c>
      <c r="D42" s="3" t="s">
        <v>48</v>
      </c>
      <c r="E42" s="3" t="s">
        <v>48</v>
      </c>
      <c r="F42" t="s">
        <v>221</v>
      </c>
      <c r="G42" t="s">
        <v>26</v>
      </c>
      <c r="H42" s="60">
        <f t="shared" si="3"/>
        <v>4000</v>
      </c>
      <c r="I42" s="60">
        <f t="shared" si="3"/>
        <v>4000</v>
      </c>
      <c r="J42" s="60">
        <f t="shared" si="3"/>
        <v>4000</v>
      </c>
      <c r="K42" s="60">
        <f t="shared" si="3"/>
        <v>4000</v>
      </c>
      <c r="L42" s="705">
        <v>16000</v>
      </c>
      <c r="N42" s="206" t="s">
        <v>541</v>
      </c>
      <c r="P42" s="66"/>
      <c r="Q42" s="195">
        <f>INDEX('Apportionment Bases'!T$6:T$33,MATCH('PC5'!$N42,'Apportionment Bases'!$A$6:$A$33,0))</f>
        <v>0</v>
      </c>
      <c r="R42" s="195">
        <f>INDEX('Apportionment Bases'!U$6:U$33,MATCH('PC5'!$N42,'Apportionment Bases'!$A$6:$A$33,0))</f>
        <v>0</v>
      </c>
      <c r="S42" s="199"/>
      <c r="T42" s="195">
        <f>INDEX('Apportionment Bases'!W$6:W$33,MATCH('PC5'!$N42,'Apportionment Bases'!$A$6:$A$33,0))</f>
        <v>1</v>
      </c>
      <c r="V42" s="66"/>
      <c r="W42" s="72">
        <f t="shared" si="38"/>
        <v>0</v>
      </c>
      <c r="X42" s="66"/>
      <c r="Y42" s="66"/>
      <c r="Z42" s="72">
        <f t="shared" si="39"/>
        <v>16000</v>
      </c>
      <c r="AA42" s="266" t="str">
        <f t="shared" si="30"/>
        <v>TRUE</v>
      </c>
      <c r="AH42" s="301"/>
      <c r="AI42" s="79"/>
      <c r="AJ42" s="80">
        <f t="shared" si="40"/>
        <v>0</v>
      </c>
      <c r="AK42" s="81"/>
      <c r="AL42" s="81"/>
      <c r="AM42" s="82">
        <f t="shared" si="31"/>
        <v>1772.8</v>
      </c>
      <c r="AN42" s="301"/>
      <c r="AO42" s="79"/>
      <c r="AP42" s="80">
        <f t="shared" si="41"/>
        <v>0</v>
      </c>
      <c r="AQ42" s="81"/>
      <c r="AR42" s="81"/>
      <c r="AS42" s="82">
        <f t="shared" si="32"/>
        <v>2481.6</v>
      </c>
      <c r="AT42" s="301"/>
      <c r="AU42" s="79"/>
      <c r="AV42" s="80">
        <f t="shared" si="33"/>
        <v>0</v>
      </c>
      <c r="AW42" s="81"/>
      <c r="AX42" s="81"/>
      <c r="AY42" s="82">
        <f t="shared" si="34"/>
        <v>1995.2</v>
      </c>
      <c r="AZ42" s="301"/>
      <c r="BA42" s="79"/>
      <c r="BB42" s="80">
        <f t="shared" si="42"/>
        <v>0</v>
      </c>
      <c r="BC42" s="81"/>
      <c r="BD42" s="81"/>
      <c r="BE42" s="82">
        <f t="shared" si="43"/>
        <v>7091.2</v>
      </c>
      <c r="BF42" s="301"/>
      <c r="BS42" s="79"/>
      <c r="BT42" s="80">
        <f t="shared" si="36"/>
        <v>0</v>
      </c>
      <c r="BU42" s="81"/>
      <c r="BV42" s="81"/>
      <c r="BW42" s="82">
        <f t="shared" si="37"/>
        <v>2659.2</v>
      </c>
      <c r="CP42" s="301"/>
    </row>
    <row r="43" spans="1:94" x14ac:dyDescent="0.25">
      <c r="A43" s="3" t="s">
        <v>188</v>
      </c>
      <c r="B43" s="3" t="s">
        <v>139</v>
      </c>
      <c r="C43" s="3" t="s">
        <v>47</v>
      </c>
      <c r="D43" s="3" t="s">
        <v>48</v>
      </c>
      <c r="E43" s="3" t="s">
        <v>48</v>
      </c>
      <c r="F43" t="s">
        <v>223</v>
      </c>
      <c r="G43" t="s">
        <v>222</v>
      </c>
      <c r="H43" s="60">
        <f t="shared" si="3"/>
        <v>250</v>
      </c>
      <c r="I43" s="60">
        <f t="shared" si="3"/>
        <v>250</v>
      </c>
      <c r="J43" s="60">
        <f t="shared" si="3"/>
        <v>250</v>
      </c>
      <c r="K43" s="60">
        <f t="shared" si="3"/>
        <v>250</v>
      </c>
      <c r="L43" s="705">
        <v>1000</v>
      </c>
      <c r="N43" s="206" t="s">
        <v>541</v>
      </c>
      <c r="P43" s="66"/>
      <c r="Q43" s="195">
        <f>INDEX('Apportionment Bases'!T$6:T$33,MATCH('PC5'!$N43,'Apportionment Bases'!$A$6:$A$33,0))</f>
        <v>0</v>
      </c>
      <c r="R43" s="195">
        <f>INDEX('Apportionment Bases'!U$6:U$33,MATCH('PC5'!$N43,'Apportionment Bases'!$A$6:$A$33,0))</f>
        <v>0</v>
      </c>
      <c r="S43" s="199"/>
      <c r="T43" s="195">
        <f>INDEX('Apportionment Bases'!W$6:W$33,MATCH('PC5'!$N43,'Apportionment Bases'!$A$6:$A$33,0))</f>
        <v>1</v>
      </c>
      <c r="V43" s="66"/>
      <c r="W43" s="72">
        <f t="shared" si="38"/>
        <v>0</v>
      </c>
      <c r="X43" s="66"/>
      <c r="Y43" s="66"/>
      <c r="Z43" s="72">
        <f t="shared" si="39"/>
        <v>1000</v>
      </c>
      <c r="AA43" s="266" t="str">
        <f t="shared" si="30"/>
        <v>TRUE</v>
      </c>
      <c r="AH43" s="301"/>
      <c r="AI43" s="79"/>
      <c r="AJ43" s="80">
        <f t="shared" si="40"/>
        <v>0</v>
      </c>
      <c r="AK43" s="81"/>
      <c r="AL43" s="81"/>
      <c r="AM43" s="82">
        <f t="shared" si="31"/>
        <v>110.8</v>
      </c>
      <c r="AN43" s="301"/>
      <c r="AO43" s="79"/>
      <c r="AP43" s="80">
        <f t="shared" si="41"/>
        <v>0</v>
      </c>
      <c r="AQ43" s="81"/>
      <c r="AR43" s="81"/>
      <c r="AS43" s="82">
        <f t="shared" si="32"/>
        <v>155.1</v>
      </c>
      <c r="AT43" s="301"/>
      <c r="AU43" s="79"/>
      <c r="AV43" s="80">
        <f t="shared" si="33"/>
        <v>0</v>
      </c>
      <c r="AW43" s="81"/>
      <c r="AX43" s="81"/>
      <c r="AY43" s="82">
        <f t="shared" si="34"/>
        <v>124.7</v>
      </c>
      <c r="AZ43" s="301"/>
      <c r="BA43" s="79"/>
      <c r="BB43" s="80">
        <f t="shared" si="42"/>
        <v>0</v>
      </c>
      <c r="BC43" s="81"/>
      <c r="BD43" s="81"/>
      <c r="BE43" s="82">
        <f t="shared" si="43"/>
        <v>443.2</v>
      </c>
      <c r="BF43" s="301"/>
      <c r="BS43" s="79"/>
      <c r="BT43" s="80">
        <f t="shared" si="36"/>
        <v>0</v>
      </c>
      <c r="BU43" s="81"/>
      <c r="BV43" s="81"/>
      <c r="BW43" s="82">
        <f t="shared" si="37"/>
        <v>166.2</v>
      </c>
      <c r="CP43" s="301"/>
    </row>
    <row r="44" spans="1:94" x14ac:dyDescent="0.25">
      <c r="A44" s="3" t="s">
        <v>188</v>
      </c>
      <c r="B44" s="3" t="s">
        <v>224</v>
      </c>
      <c r="C44" s="3" t="s">
        <v>45</v>
      </c>
      <c r="D44" s="3" t="s">
        <v>48</v>
      </c>
      <c r="E44" s="3" t="s">
        <v>48</v>
      </c>
      <c r="F44" t="s">
        <v>225</v>
      </c>
      <c r="G44" t="s">
        <v>23</v>
      </c>
      <c r="H44" s="60">
        <f t="shared" si="3"/>
        <v>0</v>
      </c>
      <c r="I44" s="60">
        <f t="shared" si="3"/>
        <v>0</v>
      </c>
      <c r="J44" s="60">
        <f t="shared" si="3"/>
        <v>0</v>
      </c>
      <c r="K44" s="60">
        <f t="shared" si="3"/>
        <v>0</v>
      </c>
      <c r="L44" s="705">
        <v>0</v>
      </c>
      <c r="N44" s="206" t="s">
        <v>541</v>
      </c>
      <c r="P44" s="66"/>
      <c r="Q44" s="195">
        <f>INDEX('Apportionment Bases'!T$6:T$33,MATCH('PC5'!$N44,'Apportionment Bases'!$A$6:$A$33,0))</f>
        <v>0</v>
      </c>
      <c r="R44" s="195">
        <f>INDEX('Apportionment Bases'!U$6:U$33,MATCH('PC5'!$N44,'Apportionment Bases'!$A$6:$A$33,0))</f>
        <v>0</v>
      </c>
      <c r="S44" s="199"/>
      <c r="T44" s="195">
        <f>INDEX('Apportionment Bases'!W$6:W$33,MATCH('PC5'!$N44,'Apportionment Bases'!$A$6:$A$33,0))</f>
        <v>1</v>
      </c>
      <c r="V44" s="66"/>
      <c r="W44" s="72">
        <f t="shared" si="38"/>
        <v>0</v>
      </c>
      <c r="X44" s="66"/>
      <c r="Y44" s="66"/>
      <c r="Z44" s="72">
        <f t="shared" si="39"/>
        <v>0</v>
      </c>
      <c r="AA44" s="266" t="str">
        <f t="shared" si="30"/>
        <v>TRUE</v>
      </c>
      <c r="AH44" s="301"/>
      <c r="AI44" s="79"/>
      <c r="AJ44" s="80">
        <f t="shared" si="40"/>
        <v>0</v>
      </c>
      <c r="AK44" s="81"/>
      <c r="AL44" s="81"/>
      <c r="AM44" s="82">
        <f t="shared" si="31"/>
        <v>0</v>
      </c>
      <c r="AN44" s="301"/>
      <c r="AO44" s="79"/>
      <c r="AP44" s="80">
        <f t="shared" si="41"/>
        <v>0</v>
      </c>
      <c r="AQ44" s="81"/>
      <c r="AR44" s="81"/>
      <c r="AS44" s="82">
        <f t="shared" si="32"/>
        <v>0</v>
      </c>
      <c r="AT44" s="301"/>
      <c r="AU44" s="79"/>
      <c r="AV44" s="80">
        <f t="shared" si="33"/>
        <v>0</v>
      </c>
      <c r="AW44" s="81"/>
      <c r="AX44" s="81"/>
      <c r="AY44" s="82">
        <f t="shared" si="34"/>
        <v>0</v>
      </c>
      <c r="AZ44" s="301"/>
      <c r="BA44" s="79"/>
      <c r="BB44" s="80">
        <f t="shared" si="42"/>
        <v>0</v>
      </c>
      <c r="BC44" s="81"/>
      <c r="BD44" s="81"/>
      <c r="BE44" s="82">
        <f t="shared" si="43"/>
        <v>0</v>
      </c>
      <c r="BF44" s="301"/>
      <c r="BS44" s="79"/>
      <c r="BT44" s="80">
        <f t="shared" si="36"/>
        <v>0</v>
      </c>
      <c r="BU44" s="81"/>
      <c r="BV44" s="81"/>
      <c r="BW44" s="82">
        <f t="shared" si="37"/>
        <v>0</v>
      </c>
      <c r="CP44" s="301"/>
    </row>
    <row r="45" spans="1:94" x14ac:dyDescent="0.25">
      <c r="A45" s="149" t="s">
        <v>188</v>
      </c>
      <c r="B45" s="149" t="s">
        <v>226</v>
      </c>
      <c r="C45" s="149" t="s">
        <v>45</v>
      </c>
      <c r="D45" s="149" t="s">
        <v>48</v>
      </c>
      <c r="E45" s="149" t="s">
        <v>48</v>
      </c>
      <c r="F45" s="150" t="s">
        <v>228</v>
      </c>
      <c r="G45" s="150" t="s">
        <v>227</v>
      </c>
      <c r="H45" s="60">
        <f t="shared" si="3"/>
        <v>3750</v>
      </c>
      <c r="I45" s="60">
        <f t="shared" si="3"/>
        <v>3750</v>
      </c>
      <c r="J45" s="60">
        <f t="shared" si="3"/>
        <v>3750</v>
      </c>
      <c r="K45" s="60">
        <f t="shared" si="3"/>
        <v>3750</v>
      </c>
      <c r="L45" s="705">
        <v>15000</v>
      </c>
      <c r="N45" s="206" t="s">
        <v>541</v>
      </c>
      <c r="P45" s="66"/>
      <c r="Q45" s="195">
        <f>INDEX('Apportionment Bases'!T$6:T$33,MATCH('PC5'!$N45,'Apportionment Bases'!$A$6:$A$33,0))</f>
        <v>0</v>
      </c>
      <c r="R45" s="195">
        <f>INDEX('Apportionment Bases'!U$6:U$33,MATCH('PC5'!$N45,'Apportionment Bases'!$A$6:$A$33,0))</f>
        <v>0</v>
      </c>
      <c r="S45" s="199"/>
      <c r="T45" s="195">
        <f>INDEX('Apportionment Bases'!W$6:W$33,MATCH('PC5'!$N45,'Apportionment Bases'!$A$6:$A$33,0))</f>
        <v>1</v>
      </c>
      <c r="V45" s="66"/>
      <c r="W45" s="72">
        <f t="shared" si="38"/>
        <v>0</v>
      </c>
      <c r="X45" s="66"/>
      <c r="Y45" s="66"/>
      <c r="Z45" s="72">
        <f t="shared" si="39"/>
        <v>15000</v>
      </c>
      <c r="AA45" s="266" t="str">
        <f t="shared" si="30"/>
        <v>TRUE</v>
      </c>
      <c r="AH45" s="301"/>
      <c r="AI45" s="79"/>
      <c r="AJ45" s="80">
        <f t="shared" si="40"/>
        <v>0</v>
      </c>
      <c r="AK45" s="81"/>
      <c r="AL45" s="81"/>
      <c r="AM45" s="82">
        <f t="shared" si="31"/>
        <v>1662</v>
      </c>
      <c r="AN45" s="301"/>
      <c r="AO45" s="79"/>
      <c r="AP45" s="80">
        <f t="shared" si="41"/>
        <v>0</v>
      </c>
      <c r="AQ45" s="81"/>
      <c r="AR45" s="81"/>
      <c r="AS45" s="82">
        <f t="shared" si="32"/>
        <v>2326.5</v>
      </c>
      <c r="AT45" s="301"/>
      <c r="AU45" s="79"/>
      <c r="AV45" s="80">
        <f t="shared" si="33"/>
        <v>0</v>
      </c>
      <c r="AW45" s="81"/>
      <c r="AX45" s="81"/>
      <c r="AY45" s="82">
        <f t="shared" si="34"/>
        <v>1870.5</v>
      </c>
      <c r="AZ45" s="301"/>
      <c r="BA45" s="79"/>
      <c r="BB45" s="80">
        <f t="shared" si="42"/>
        <v>0</v>
      </c>
      <c r="BC45" s="81"/>
      <c r="BD45" s="81"/>
      <c r="BE45" s="82">
        <f t="shared" si="43"/>
        <v>6648</v>
      </c>
      <c r="BF45" s="301"/>
      <c r="BS45" s="79"/>
      <c r="BT45" s="80">
        <f t="shared" si="36"/>
        <v>0</v>
      </c>
      <c r="BU45" s="81"/>
      <c r="BV45" s="81"/>
      <c r="BW45" s="82">
        <f t="shared" si="37"/>
        <v>2493</v>
      </c>
      <c r="CP45" s="301"/>
    </row>
    <row r="46" spans="1:94" x14ac:dyDescent="0.25">
      <c r="A46" s="3" t="s">
        <v>188</v>
      </c>
      <c r="B46" s="3" t="s">
        <v>151</v>
      </c>
      <c r="C46" s="3" t="s">
        <v>45</v>
      </c>
      <c r="D46" s="3" t="s">
        <v>48</v>
      </c>
      <c r="E46" s="3" t="s">
        <v>48</v>
      </c>
      <c r="F46" t="s">
        <v>232</v>
      </c>
      <c r="G46" t="s">
        <v>27</v>
      </c>
      <c r="H46" s="60">
        <f t="shared" si="3"/>
        <v>0</v>
      </c>
      <c r="I46" s="60">
        <f t="shared" si="3"/>
        <v>0</v>
      </c>
      <c r="J46" s="60">
        <f t="shared" si="3"/>
        <v>0</v>
      </c>
      <c r="K46" s="60">
        <f t="shared" si="3"/>
        <v>0</v>
      </c>
      <c r="L46" s="705">
        <v>0</v>
      </c>
      <c r="N46" s="206" t="s">
        <v>541</v>
      </c>
      <c r="P46" s="66"/>
      <c r="Q46" s="195">
        <f>INDEX('Apportionment Bases'!T$6:T$33,MATCH('PC5'!$N46,'Apportionment Bases'!$A$6:$A$33,0))</f>
        <v>0</v>
      </c>
      <c r="R46" s="195">
        <f>INDEX('Apportionment Bases'!U$6:U$33,MATCH('PC5'!$N46,'Apportionment Bases'!$A$6:$A$33,0))</f>
        <v>0</v>
      </c>
      <c r="S46" s="199"/>
      <c r="T46" s="195">
        <f>INDEX('Apportionment Bases'!W$6:W$33,MATCH('PC5'!$N46,'Apportionment Bases'!$A$6:$A$33,0))</f>
        <v>1</v>
      </c>
      <c r="V46" s="66"/>
      <c r="W46" s="72">
        <f t="shared" si="38"/>
        <v>0</v>
      </c>
      <c r="X46" s="66"/>
      <c r="Y46" s="66"/>
      <c r="Z46" s="72">
        <f t="shared" si="39"/>
        <v>0</v>
      </c>
      <c r="AA46" s="266" t="str">
        <f t="shared" si="30"/>
        <v>TRUE</v>
      </c>
      <c r="AH46" s="301"/>
      <c r="AI46" s="79"/>
      <c r="AJ46" s="80">
        <f t="shared" si="40"/>
        <v>0</v>
      </c>
      <c r="AK46" s="81"/>
      <c r="AL46" s="81"/>
      <c r="AM46" s="82">
        <f t="shared" si="31"/>
        <v>0</v>
      </c>
      <c r="AN46" s="301"/>
      <c r="AO46" s="79"/>
      <c r="AP46" s="80">
        <f t="shared" si="41"/>
        <v>0</v>
      </c>
      <c r="AQ46" s="81"/>
      <c r="AR46" s="81"/>
      <c r="AS46" s="82">
        <f t="shared" si="32"/>
        <v>0</v>
      </c>
      <c r="AT46" s="301"/>
      <c r="AU46" s="79"/>
      <c r="AV46" s="80">
        <f t="shared" si="33"/>
        <v>0</v>
      </c>
      <c r="AW46" s="81"/>
      <c r="AX46" s="81"/>
      <c r="AY46" s="82">
        <f t="shared" si="34"/>
        <v>0</v>
      </c>
      <c r="AZ46" s="301"/>
      <c r="BA46" s="79"/>
      <c r="BB46" s="80">
        <f t="shared" si="42"/>
        <v>0</v>
      </c>
      <c r="BC46" s="81"/>
      <c r="BD46" s="81"/>
      <c r="BE46" s="82">
        <f t="shared" si="43"/>
        <v>0</v>
      </c>
      <c r="BF46" s="301"/>
      <c r="BS46" s="79"/>
      <c r="BT46" s="80">
        <f t="shared" si="36"/>
        <v>0</v>
      </c>
      <c r="BU46" s="81"/>
      <c r="BV46" s="81"/>
      <c r="BW46" s="82">
        <f t="shared" si="37"/>
        <v>0</v>
      </c>
      <c r="CP46" s="301"/>
    </row>
    <row r="47" spans="1:94" x14ac:dyDescent="0.25">
      <c r="A47" s="3" t="s">
        <v>188</v>
      </c>
      <c r="B47" s="3" t="s">
        <v>153</v>
      </c>
      <c r="C47" s="3" t="s">
        <v>45</v>
      </c>
      <c r="D47" s="3" t="s">
        <v>48</v>
      </c>
      <c r="E47" s="3" t="s">
        <v>48</v>
      </c>
      <c r="F47" t="s">
        <v>234</v>
      </c>
      <c r="G47" t="s">
        <v>233</v>
      </c>
      <c r="H47" s="60">
        <f t="shared" si="3"/>
        <v>587</v>
      </c>
      <c r="I47" s="60">
        <f t="shared" si="3"/>
        <v>587</v>
      </c>
      <c r="J47" s="60">
        <f t="shared" si="3"/>
        <v>587</v>
      </c>
      <c r="K47" s="60">
        <f t="shared" si="3"/>
        <v>587</v>
      </c>
      <c r="L47" s="705">
        <v>2348</v>
      </c>
      <c r="N47" s="206" t="s">
        <v>541</v>
      </c>
      <c r="P47" s="66"/>
      <c r="Q47" s="195">
        <f>INDEX('Apportionment Bases'!T$6:T$33,MATCH('PC5'!$N47,'Apportionment Bases'!$A$6:$A$33,0))</f>
        <v>0</v>
      </c>
      <c r="R47" s="195">
        <f>INDEX('Apportionment Bases'!U$6:U$33,MATCH('PC5'!$N47,'Apportionment Bases'!$A$6:$A$33,0))</f>
        <v>0</v>
      </c>
      <c r="S47" s="199"/>
      <c r="T47" s="195">
        <f>INDEX('Apportionment Bases'!W$6:W$33,MATCH('PC5'!$N47,'Apportionment Bases'!$A$6:$A$33,0))</f>
        <v>1</v>
      </c>
      <c r="V47" s="66"/>
      <c r="W47" s="72">
        <f t="shared" si="38"/>
        <v>0</v>
      </c>
      <c r="X47" s="66"/>
      <c r="Y47" s="66"/>
      <c r="Z47" s="72">
        <f t="shared" si="39"/>
        <v>2348</v>
      </c>
      <c r="AA47" s="266" t="str">
        <f t="shared" si="30"/>
        <v>TRUE</v>
      </c>
      <c r="AH47" s="301"/>
      <c r="AI47" s="79"/>
      <c r="AJ47" s="80">
        <f t="shared" si="40"/>
        <v>0</v>
      </c>
      <c r="AK47" s="81"/>
      <c r="AL47" s="81"/>
      <c r="AM47" s="82">
        <f t="shared" si="31"/>
        <v>260.15839999999997</v>
      </c>
      <c r="AN47" s="301"/>
      <c r="AO47" s="79"/>
      <c r="AP47" s="80">
        <f t="shared" si="41"/>
        <v>0</v>
      </c>
      <c r="AQ47" s="81"/>
      <c r="AR47" s="81"/>
      <c r="AS47" s="82">
        <f t="shared" si="32"/>
        <v>364.17479999999995</v>
      </c>
      <c r="AT47" s="301"/>
      <c r="AU47" s="79"/>
      <c r="AV47" s="80">
        <f t="shared" si="33"/>
        <v>0</v>
      </c>
      <c r="AW47" s="81"/>
      <c r="AX47" s="81"/>
      <c r="AY47" s="82">
        <f t="shared" si="34"/>
        <v>292.79560000000004</v>
      </c>
      <c r="AZ47" s="301"/>
      <c r="BA47" s="79"/>
      <c r="BB47" s="80">
        <f t="shared" si="42"/>
        <v>0</v>
      </c>
      <c r="BC47" s="81"/>
      <c r="BD47" s="81"/>
      <c r="BE47" s="82">
        <f t="shared" si="43"/>
        <v>1040.6335999999999</v>
      </c>
      <c r="BF47" s="301"/>
      <c r="BS47" s="79"/>
      <c r="BT47" s="80">
        <f t="shared" si="36"/>
        <v>0</v>
      </c>
      <c r="BU47" s="81"/>
      <c r="BV47" s="81"/>
      <c r="BW47" s="82">
        <f t="shared" si="37"/>
        <v>390.23759999999999</v>
      </c>
      <c r="CP47" s="301"/>
    </row>
    <row r="48" spans="1:94" x14ac:dyDescent="0.25">
      <c r="A48" s="3" t="s">
        <v>188</v>
      </c>
      <c r="B48" s="3" t="s">
        <v>156</v>
      </c>
      <c r="C48" s="3" t="s">
        <v>45</v>
      </c>
      <c r="D48" s="3" t="s">
        <v>48</v>
      </c>
      <c r="E48" s="3" t="s">
        <v>48</v>
      </c>
      <c r="F48" t="s">
        <v>240</v>
      </c>
      <c r="G48" t="s">
        <v>30</v>
      </c>
      <c r="H48" s="60">
        <f t="shared" si="3"/>
        <v>1050</v>
      </c>
      <c r="I48" s="60">
        <f t="shared" si="3"/>
        <v>1050</v>
      </c>
      <c r="J48" s="60">
        <f t="shared" si="3"/>
        <v>1050</v>
      </c>
      <c r="K48" s="60">
        <f t="shared" si="3"/>
        <v>1050</v>
      </c>
      <c r="L48" s="705">
        <v>4200</v>
      </c>
      <c r="N48" s="206" t="s">
        <v>541</v>
      </c>
      <c r="P48" s="66"/>
      <c r="Q48" s="195">
        <f>INDEX('Apportionment Bases'!T$6:T$33,MATCH('PC5'!$N48,'Apportionment Bases'!$A$6:$A$33,0))</f>
        <v>0</v>
      </c>
      <c r="R48" s="195">
        <f>INDEX('Apportionment Bases'!U$6:U$33,MATCH('PC5'!$N48,'Apportionment Bases'!$A$6:$A$33,0))</f>
        <v>0</v>
      </c>
      <c r="S48" s="199"/>
      <c r="T48" s="195">
        <f>INDEX('Apportionment Bases'!W$6:W$33,MATCH('PC5'!$N48,'Apportionment Bases'!$A$6:$A$33,0))</f>
        <v>1</v>
      </c>
      <c r="V48" s="66"/>
      <c r="W48" s="72">
        <f t="shared" si="38"/>
        <v>0</v>
      </c>
      <c r="X48" s="66"/>
      <c r="Y48" s="66"/>
      <c r="Z48" s="72">
        <f t="shared" si="39"/>
        <v>4200</v>
      </c>
      <c r="AA48" s="266" t="str">
        <f t="shared" si="30"/>
        <v>TRUE</v>
      </c>
      <c r="AH48" s="301"/>
      <c r="AI48" s="79"/>
      <c r="AJ48" s="80">
        <f t="shared" si="40"/>
        <v>0</v>
      </c>
      <c r="AK48" s="81"/>
      <c r="AL48" s="81"/>
      <c r="AM48" s="82">
        <f t="shared" si="31"/>
        <v>465.35999999999996</v>
      </c>
      <c r="AN48" s="301"/>
      <c r="AO48" s="79"/>
      <c r="AP48" s="80">
        <f t="shared" si="41"/>
        <v>0</v>
      </c>
      <c r="AQ48" s="81"/>
      <c r="AR48" s="81"/>
      <c r="AS48" s="82">
        <f t="shared" si="32"/>
        <v>651.41999999999996</v>
      </c>
      <c r="AT48" s="301"/>
      <c r="AU48" s="79"/>
      <c r="AV48" s="80">
        <f t="shared" si="33"/>
        <v>0</v>
      </c>
      <c r="AW48" s="81"/>
      <c r="AX48" s="81"/>
      <c r="AY48" s="82">
        <f t="shared" si="34"/>
        <v>523.74</v>
      </c>
      <c r="AZ48" s="301"/>
      <c r="BA48" s="79"/>
      <c r="BB48" s="80">
        <f t="shared" si="42"/>
        <v>0</v>
      </c>
      <c r="BC48" s="81"/>
      <c r="BD48" s="81"/>
      <c r="BE48" s="82">
        <f t="shared" si="43"/>
        <v>1861.4399999999998</v>
      </c>
      <c r="BF48" s="301"/>
      <c r="BS48" s="79"/>
      <c r="BT48" s="80">
        <f t="shared" si="36"/>
        <v>0</v>
      </c>
      <c r="BU48" s="81"/>
      <c r="BV48" s="81"/>
      <c r="BW48" s="82">
        <f t="shared" si="37"/>
        <v>698.04</v>
      </c>
      <c r="CP48" s="301"/>
    </row>
    <row r="49" spans="1:94" x14ac:dyDescent="0.25">
      <c r="A49" s="3" t="s">
        <v>188</v>
      </c>
      <c r="B49" s="3" t="s">
        <v>158</v>
      </c>
      <c r="C49" s="3" t="s">
        <v>47</v>
      </c>
      <c r="D49" s="3" t="s">
        <v>48</v>
      </c>
      <c r="E49" s="3" t="s">
        <v>48</v>
      </c>
      <c r="F49" t="s">
        <v>241</v>
      </c>
      <c r="G49" t="s">
        <v>159</v>
      </c>
      <c r="H49" s="60">
        <f t="shared" si="3"/>
        <v>423</v>
      </c>
      <c r="I49" s="60">
        <f t="shared" si="3"/>
        <v>423</v>
      </c>
      <c r="J49" s="60">
        <f t="shared" si="3"/>
        <v>423</v>
      </c>
      <c r="K49" s="60">
        <f t="shared" si="3"/>
        <v>423</v>
      </c>
      <c r="L49" s="705">
        <v>1692</v>
      </c>
      <c r="N49" s="206" t="s">
        <v>541</v>
      </c>
      <c r="P49" s="66"/>
      <c r="Q49" s="195">
        <f>INDEX('Apportionment Bases'!T$6:T$33,MATCH('PC5'!$N49,'Apportionment Bases'!$A$6:$A$33,0))</f>
        <v>0</v>
      </c>
      <c r="R49" s="195">
        <f>INDEX('Apportionment Bases'!U$6:U$33,MATCH('PC5'!$N49,'Apportionment Bases'!$A$6:$A$33,0))</f>
        <v>0</v>
      </c>
      <c r="S49" s="199"/>
      <c r="T49" s="195">
        <f>INDEX('Apportionment Bases'!W$6:W$33,MATCH('PC5'!$N49,'Apportionment Bases'!$A$6:$A$33,0))</f>
        <v>1</v>
      </c>
      <c r="V49" s="66"/>
      <c r="W49" s="72">
        <f t="shared" si="38"/>
        <v>0</v>
      </c>
      <c r="X49" s="66"/>
      <c r="Y49" s="66"/>
      <c r="Z49" s="72">
        <f t="shared" si="39"/>
        <v>1692</v>
      </c>
      <c r="AA49" s="266" t="str">
        <f t="shared" si="30"/>
        <v>TRUE</v>
      </c>
      <c r="AH49" s="301"/>
      <c r="AI49" s="79"/>
      <c r="AJ49" s="80">
        <f t="shared" si="40"/>
        <v>0</v>
      </c>
      <c r="AK49" s="81"/>
      <c r="AL49" s="81"/>
      <c r="AM49" s="82">
        <f t="shared" si="31"/>
        <v>187.4736</v>
      </c>
      <c r="AN49" s="301"/>
      <c r="AO49" s="79"/>
      <c r="AP49" s="80">
        <f t="shared" si="41"/>
        <v>0</v>
      </c>
      <c r="AQ49" s="81"/>
      <c r="AR49" s="81"/>
      <c r="AS49" s="82">
        <f t="shared" si="32"/>
        <v>262.42919999999998</v>
      </c>
      <c r="AT49" s="301"/>
      <c r="AU49" s="79"/>
      <c r="AV49" s="80">
        <f t="shared" si="33"/>
        <v>0</v>
      </c>
      <c r="AW49" s="81"/>
      <c r="AX49" s="81"/>
      <c r="AY49" s="82">
        <f t="shared" si="34"/>
        <v>210.9924</v>
      </c>
      <c r="AZ49" s="301"/>
      <c r="BA49" s="79"/>
      <c r="BB49" s="80">
        <f t="shared" si="42"/>
        <v>0</v>
      </c>
      <c r="BC49" s="81"/>
      <c r="BD49" s="81"/>
      <c r="BE49" s="82">
        <f t="shared" si="43"/>
        <v>749.89440000000002</v>
      </c>
      <c r="BF49" s="301"/>
      <c r="BS49" s="79"/>
      <c r="BT49" s="80">
        <f t="shared" si="36"/>
        <v>0</v>
      </c>
      <c r="BU49" s="81"/>
      <c r="BV49" s="81"/>
      <c r="BW49" s="82">
        <f t="shared" si="37"/>
        <v>281.21039999999999</v>
      </c>
      <c r="CP49" s="301"/>
    </row>
    <row r="50" spans="1:94" x14ac:dyDescent="0.25">
      <c r="A50" s="3" t="s">
        <v>188</v>
      </c>
      <c r="B50" s="3" t="s">
        <v>158</v>
      </c>
      <c r="C50" s="3" t="s">
        <v>45</v>
      </c>
      <c r="D50" s="3" t="s">
        <v>48</v>
      </c>
      <c r="E50" s="3" t="s">
        <v>48</v>
      </c>
      <c r="F50" t="s">
        <v>242</v>
      </c>
      <c r="G50" t="s">
        <v>159</v>
      </c>
      <c r="H50" s="60">
        <f t="shared" si="3"/>
        <v>3238.25</v>
      </c>
      <c r="I50" s="60">
        <f t="shared" si="3"/>
        <v>3238.25</v>
      </c>
      <c r="J50" s="60">
        <f t="shared" si="3"/>
        <v>3238.25</v>
      </c>
      <c r="K50" s="60">
        <f t="shared" si="3"/>
        <v>3238.25</v>
      </c>
      <c r="L50" s="705">
        <v>12953</v>
      </c>
      <c r="N50" s="206" t="s">
        <v>541</v>
      </c>
      <c r="P50" s="66"/>
      <c r="Q50" s="195">
        <f>INDEX('Apportionment Bases'!T$6:T$33,MATCH('PC5'!$N50,'Apportionment Bases'!$A$6:$A$33,0))</f>
        <v>0</v>
      </c>
      <c r="R50" s="195">
        <f>INDEX('Apportionment Bases'!U$6:U$33,MATCH('PC5'!$N50,'Apportionment Bases'!$A$6:$A$33,0))</f>
        <v>0</v>
      </c>
      <c r="S50" s="199"/>
      <c r="T50" s="195">
        <f>INDEX('Apportionment Bases'!W$6:W$33,MATCH('PC5'!$N50,'Apportionment Bases'!$A$6:$A$33,0))</f>
        <v>1</v>
      </c>
      <c r="V50" s="66"/>
      <c r="W50" s="72">
        <f t="shared" si="38"/>
        <v>0</v>
      </c>
      <c r="X50" s="66"/>
      <c r="Y50" s="66"/>
      <c r="Z50" s="72">
        <f t="shared" si="39"/>
        <v>12953</v>
      </c>
      <c r="AA50" s="266" t="str">
        <f t="shared" si="30"/>
        <v>TRUE</v>
      </c>
      <c r="AH50" s="301"/>
      <c r="AI50" s="79"/>
      <c r="AJ50" s="80">
        <f t="shared" si="40"/>
        <v>0</v>
      </c>
      <c r="AK50" s="81"/>
      <c r="AL50" s="81"/>
      <c r="AM50" s="82">
        <f t="shared" si="31"/>
        <v>1435.1923999999999</v>
      </c>
      <c r="AN50" s="301"/>
      <c r="AO50" s="79"/>
      <c r="AP50" s="80">
        <f t="shared" si="41"/>
        <v>0</v>
      </c>
      <c r="AQ50" s="81"/>
      <c r="AR50" s="81"/>
      <c r="AS50" s="82">
        <f t="shared" si="32"/>
        <v>2009.0102999999999</v>
      </c>
      <c r="AT50" s="301"/>
      <c r="AU50" s="79"/>
      <c r="AV50" s="80">
        <f t="shared" si="33"/>
        <v>0</v>
      </c>
      <c r="AW50" s="81"/>
      <c r="AX50" s="81"/>
      <c r="AY50" s="82">
        <f t="shared" si="34"/>
        <v>1615.2391</v>
      </c>
      <c r="AZ50" s="301"/>
      <c r="BA50" s="79"/>
      <c r="BB50" s="80">
        <f t="shared" si="42"/>
        <v>0</v>
      </c>
      <c r="BC50" s="81"/>
      <c r="BD50" s="81"/>
      <c r="BE50" s="82">
        <f t="shared" si="43"/>
        <v>5740.7695999999996</v>
      </c>
      <c r="BF50" s="301"/>
      <c r="BS50" s="79"/>
      <c r="BT50" s="80">
        <f t="shared" si="36"/>
        <v>0</v>
      </c>
      <c r="BU50" s="81"/>
      <c r="BV50" s="81"/>
      <c r="BW50" s="82">
        <f t="shared" si="37"/>
        <v>2152.7885999999999</v>
      </c>
      <c r="CP50" s="301"/>
    </row>
    <row r="51" spans="1:94" ht="15.75" thickBot="1" x14ac:dyDescent="0.3">
      <c r="A51" s="21"/>
      <c r="B51" s="21"/>
      <c r="C51" s="21"/>
      <c r="D51" s="21"/>
      <c r="E51" s="21"/>
      <c r="F51" s="22"/>
      <c r="G51" s="26" t="s">
        <v>160</v>
      </c>
      <c r="H51" s="24">
        <f>SUM(H21:H50)</f>
        <v>73920.5</v>
      </c>
      <c r="I51" s="24">
        <f>SUM(I21:I50)</f>
        <v>73920.5</v>
      </c>
      <c r="J51" s="24">
        <f>SUM(J21:J50)</f>
        <v>73920.5</v>
      </c>
      <c r="K51" s="24">
        <f>SUM(K21:K50)</f>
        <v>73920.5</v>
      </c>
      <c r="L51" s="24">
        <f>SUM(L21:L50)</f>
        <v>295682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>
        <f>SUM(W21:W50)</f>
        <v>145000</v>
      </c>
      <c r="X51" s="24"/>
      <c r="Y51" s="24"/>
      <c r="Z51" s="24">
        <f>SUM(Z21:Z50)</f>
        <v>150682</v>
      </c>
      <c r="AA51" s="24"/>
      <c r="AB51" s="24"/>
      <c r="AC51" s="24"/>
      <c r="AD51" s="24"/>
      <c r="AE51" s="24"/>
      <c r="AF51" s="24"/>
      <c r="AG51" s="24"/>
      <c r="AH51" s="333"/>
      <c r="AI51" s="88"/>
      <c r="AJ51" s="88">
        <f>SUM(AJ21:AJ50)</f>
        <v>29014.5</v>
      </c>
      <c r="AK51" s="88"/>
      <c r="AL51" s="88"/>
      <c r="AM51" s="329">
        <f>SUM(AM21:AM50)</f>
        <v>16695.565599999998</v>
      </c>
      <c r="AN51" s="333"/>
      <c r="AO51" s="88"/>
      <c r="AP51" s="88">
        <f t="shared" ref="AP51:AS51" si="44">SUM(AP21:AP50)</f>
        <v>24882</v>
      </c>
      <c r="AQ51" s="88"/>
      <c r="AR51" s="88"/>
      <c r="AS51" s="329">
        <f t="shared" si="44"/>
        <v>23370.778199999993</v>
      </c>
      <c r="AT51" s="333"/>
      <c r="AU51" s="88"/>
      <c r="AV51" s="88">
        <f t="shared" ref="AV51" si="45">SUM(AV21:AV50)</f>
        <v>21503.499999999996</v>
      </c>
      <c r="AW51" s="88"/>
      <c r="AX51" s="88"/>
      <c r="AY51" s="329">
        <f t="shared" ref="AY51" si="46">SUM(AY21:AY50)</f>
        <v>18790.045400000003</v>
      </c>
      <c r="AZ51" s="333"/>
      <c r="BA51" s="88"/>
      <c r="BB51" s="88">
        <f t="shared" ref="BB51" si="47">SUM(BB21:BB50)</f>
        <v>38323.5</v>
      </c>
      <c r="BC51" s="88"/>
      <c r="BD51" s="88"/>
      <c r="BE51" s="329">
        <f t="shared" ref="BE51" si="48">SUM(BE21:BE50)</f>
        <v>66782.262399999992</v>
      </c>
      <c r="BF51" s="333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88"/>
      <c r="BT51" s="88">
        <f t="shared" ref="BT51" si="49">SUM(BT21:BT50)</f>
        <v>31276.5</v>
      </c>
      <c r="BU51" s="88"/>
      <c r="BV51" s="88"/>
      <c r="BW51" s="329">
        <f t="shared" ref="BW51" si="50">SUM(BW21:BW50)</f>
        <v>25043.348400000003</v>
      </c>
      <c r="CP51" s="300"/>
    </row>
    <row r="52" spans="1:94" ht="15.75" thickTop="1" x14ac:dyDescent="0.25">
      <c r="F52" s="3"/>
      <c r="G52" s="266" t="s">
        <v>696</v>
      </c>
      <c r="H52" s="266"/>
      <c r="I52" s="266"/>
      <c r="J52" s="266"/>
      <c r="K52" s="266"/>
      <c r="L52" s="537">
        <v>20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334"/>
      <c r="AI52" s="89"/>
      <c r="AJ52" s="89"/>
      <c r="AK52" s="89"/>
      <c r="AL52" s="89"/>
      <c r="AM52" s="89"/>
      <c r="AN52" s="334"/>
      <c r="AO52" s="89"/>
      <c r="AP52" s="89"/>
      <c r="AQ52" s="89"/>
      <c r="AR52" s="89"/>
      <c r="AS52" s="89"/>
      <c r="AT52" s="334"/>
      <c r="AU52" s="89"/>
      <c r="AV52" s="89"/>
      <c r="AW52" s="89"/>
      <c r="AX52" s="89"/>
      <c r="AY52" s="89"/>
      <c r="AZ52" s="334"/>
      <c r="BA52" s="89"/>
      <c r="BB52" s="89"/>
      <c r="BC52" s="89"/>
      <c r="BD52" s="89"/>
      <c r="BE52" s="89"/>
      <c r="BF52" s="334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89"/>
      <c r="BT52" s="89"/>
      <c r="BU52" s="89"/>
      <c r="BV52" s="89"/>
      <c r="BW52" s="89"/>
      <c r="CP52" s="300"/>
    </row>
    <row r="53" spans="1:94" ht="15.75" thickBot="1" x14ac:dyDescent="0.3">
      <c r="A53" s="27"/>
      <c r="B53" s="27"/>
      <c r="C53" s="27"/>
      <c r="D53" s="27"/>
      <c r="E53" s="27"/>
      <c r="F53" s="27"/>
      <c r="G53" s="28" t="s">
        <v>161</v>
      </c>
      <c r="H53" s="34">
        <f>H51+H18</f>
        <v>118966</v>
      </c>
      <c r="I53" s="34">
        <f>I51+I18</f>
        <v>118966</v>
      </c>
      <c r="J53" s="34">
        <f>J51+J18</f>
        <v>118966</v>
      </c>
      <c r="K53" s="34">
        <f>K51+K18</f>
        <v>118966</v>
      </c>
      <c r="L53" s="34">
        <f>L51+L18+L52</f>
        <v>475884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>
        <f>W51+W18</f>
        <v>145000</v>
      </c>
      <c r="X53" s="29"/>
      <c r="Y53" s="29"/>
      <c r="Z53" s="29">
        <f>Z51+Z18</f>
        <v>330864</v>
      </c>
      <c r="AA53" s="29"/>
      <c r="AB53" s="29"/>
      <c r="AC53" s="29"/>
      <c r="AD53" s="29"/>
      <c r="AE53" s="29"/>
      <c r="AF53" s="29"/>
      <c r="AG53" s="29"/>
      <c r="AH53" s="333"/>
      <c r="AI53" s="91"/>
      <c r="AJ53" s="90">
        <f>AJ51+AJ18</f>
        <v>29014.5</v>
      </c>
      <c r="AK53" s="91"/>
      <c r="AL53" s="91"/>
      <c r="AM53" s="90">
        <f>AM51+AM18</f>
        <v>36659.731199999995</v>
      </c>
      <c r="AN53" s="336"/>
      <c r="AO53" s="90"/>
      <c r="AP53" s="90">
        <f t="shared" ref="AP53:AS53" si="51">AP51+AP18</f>
        <v>24882</v>
      </c>
      <c r="AQ53" s="90"/>
      <c r="AR53" s="90"/>
      <c r="AS53" s="90">
        <f t="shared" si="51"/>
        <v>51317.006399999991</v>
      </c>
      <c r="AT53" s="336"/>
      <c r="AU53" s="90"/>
      <c r="AV53" s="90">
        <f t="shared" ref="AV53:AY53" si="52">AV51+AV18</f>
        <v>21503.499999999996</v>
      </c>
      <c r="AW53" s="90"/>
      <c r="AX53" s="90"/>
      <c r="AY53" s="90">
        <f t="shared" si="52"/>
        <v>41258.7408</v>
      </c>
      <c r="AZ53" s="336"/>
      <c r="BA53" s="90"/>
      <c r="BB53" s="90">
        <f t="shared" ref="BB53:BW53" si="53">BB51+BB18</f>
        <v>38323.5</v>
      </c>
      <c r="BC53" s="90"/>
      <c r="BD53" s="90"/>
      <c r="BE53" s="90">
        <f t="shared" si="53"/>
        <v>146638.92479999998</v>
      </c>
      <c r="BF53" s="336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90"/>
      <c r="BT53" s="90">
        <f t="shared" si="53"/>
        <v>31276.5</v>
      </c>
      <c r="BU53" s="90"/>
      <c r="BV53" s="90"/>
      <c r="BW53" s="90">
        <f t="shared" si="53"/>
        <v>54989.596799999999</v>
      </c>
      <c r="CP53" s="300"/>
    </row>
    <row r="54" spans="1:94" ht="15.75" thickTop="1" x14ac:dyDescent="0.25">
      <c r="AH54" s="300"/>
      <c r="AI54" s="85"/>
      <c r="AJ54" s="92">
        <f>AJ53/$W$53</f>
        <v>0.2001</v>
      </c>
      <c r="AK54" s="85"/>
      <c r="AL54" s="85"/>
      <c r="AM54" s="92">
        <f>AM53/$Z$53</f>
        <v>0.11079999999999998</v>
      </c>
      <c r="AN54" s="300"/>
      <c r="AO54" s="85"/>
      <c r="AP54" s="92">
        <f>AP53/$W$53</f>
        <v>0.1716</v>
      </c>
      <c r="AQ54" s="85"/>
      <c r="AR54" s="85"/>
      <c r="AS54" s="92">
        <f>AS53/$Z$53</f>
        <v>0.15509999999999996</v>
      </c>
      <c r="AT54" s="300"/>
      <c r="AU54" s="85"/>
      <c r="AV54" s="92">
        <f>AV53/$W$53</f>
        <v>0.14829999999999999</v>
      </c>
      <c r="AW54" s="85"/>
      <c r="AX54" s="85"/>
      <c r="AY54" s="92">
        <f>AY53/$Z$53</f>
        <v>0.12470000000000001</v>
      </c>
      <c r="AZ54" s="300"/>
      <c r="BA54" s="85"/>
      <c r="BB54" s="92">
        <f>BB53/$W$53</f>
        <v>0.26429999999999998</v>
      </c>
      <c r="BC54" s="85"/>
      <c r="BD54" s="85"/>
      <c r="BE54" s="92">
        <f>BE53/$Z$53</f>
        <v>0.44319999999999993</v>
      </c>
      <c r="BF54" s="300"/>
      <c r="BS54" s="85"/>
      <c r="BT54" s="92">
        <f>BT53/$W$53</f>
        <v>0.2157</v>
      </c>
      <c r="BU54" s="85"/>
      <c r="BV54" s="85"/>
      <c r="BW54" s="92">
        <f>BW53/$Z$53</f>
        <v>0.16619999999999999</v>
      </c>
      <c r="CP54" s="300"/>
    </row>
    <row r="55" spans="1:94" x14ac:dyDescent="0.25">
      <c r="AH55" s="300"/>
      <c r="AI55" s="85"/>
      <c r="AJ55" s="328" t="str">
        <f>IF(AJ54=AD7,"TRUE","FALSE")</f>
        <v>TRUE</v>
      </c>
      <c r="AK55" s="85"/>
      <c r="AL55" s="85"/>
      <c r="AM55" s="328" t="str">
        <f>IF(AM54=AG7,"TRUE","FALSE")</f>
        <v>TRUE</v>
      </c>
      <c r="AN55" s="300"/>
      <c r="AO55" s="85"/>
      <c r="AP55" s="328" t="str">
        <f>IF(AP54=AD8,"TRUE","FALSE")</f>
        <v>TRUE</v>
      </c>
      <c r="AQ55" s="85"/>
      <c r="AR55" s="85"/>
      <c r="AS55" s="328" t="str">
        <f>IF(AS54=AG8,"TRUE","FALSE")</f>
        <v>TRUE</v>
      </c>
      <c r="AT55" s="300"/>
      <c r="AU55" s="85"/>
      <c r="AV55" s="328" t="str">
        <f>IF(AV54=AD9,"TRUE","FALSE")</f>
        <v>TRUE</v>
      </c>
      <c r="AW55" s="85"/>
      <c r="AX55" s="85"/>
      <c r="AY55" s="328" t="str">
        <f>IF(AY54=AG9,"TRUE","FALSE")</f>
        <v>TRUE</v>
      </c>
      <c r="AZ55" s="300"/>
      <c r="BA55" s="85"/>
      <c r="BB55" s="328" t="str">
        <f>IF(BB54=AD10,"TRUE","FALSE")</f>
        <v>TRUE</v>
      </c>
      <c r="BC55" s="85"/>
      <c r="BD55" s="85"/>
      <c r="BE55" s="328" t="str">
        <f>IF(BE54=AG10,"TRUE","FALSE")</f>
        <v>TRUE</v>
      </c>
      <c r="BF55" s="300"/>
      <c r="BS55" s="85"/>
      <c r="BT55" s="328" t="str">
        <f>IF(BT54=AD11,"TRUE","FALSE")</f>
        <v>TRUE</v>
      </c>
      <c r="BU55" s="85"/>
      <c r="BV55" s="85"/>
      <c r="BW55" s="328" t="str">
        <f>IF(BW54=AG11,"TRUE","FALSE")</f>
        <v>TRUE</v>
      </c>
      <c r="CP55" s="300"/>
    </row>
    <row r="56" spans="1:94" ht="8.25" customHeight="1" x14ac:dyDescent="0.25">
      <c r="AH56" s="301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CP56" s="301"/>
    </row>
  </sheetData>
  <mergeCells count="17">
    <mergeCell ref="A1:N1"/>
    <mergeCell ref="A2:N2"/>
    <mergeCell ref="BM4:BQ4"/>
    <mergeCell ref="BA4:BE4"/>
    <mergeCell ref="BG4:BK4"/>
    <mergeCell ref="AO4:AS4"/>
    <mergeCell ref="AU4:AY4"/>
    <mergeCell ref="BS4:BW4"/>
    <mergeCell ref="BY4:CC4"/>
    <mergeCell ref="CE4:CI4"/>
    <mergeCell ref="CK4:CO4"/>
    <mergeCell ref="A20:G20"/>
    <mergeCell ref="AI4:AM4"/>
    <mergeCell ref="P4:T4"/>
    <mergeCell ref="V4:Z4"/>
    <mergeCell ref="AB4:AG4"/>
    <mergeCell ref="A6:G6"/>
  </mergeCells>
  <conditionalFormatting sqref="AD32">
    <cfRule type="containsText" dxfId="1100" priority="91" operator="containsText" text="Insurance">
      <formula>NOT(ISERROR(SEARCH("Insurance",AD32)))</formula>
    </cfRule>
    <cfRule type="containsText" dxfId="1099" priority="92" operator="containsText" text="Permits">
      <formula>NOT(ISERROR(SEARCH("Permits",AD32)))</formula>
    </cfRule>
    <cfRule type="containsText" dxfId="1098" priority="93" operator="containsText" text="ETM">
      <formula>NOT(ISERROR(SEARCH("ETM",AD32)))</formula>
    </cfRule>
    <cfRule type="containsText" dxfId="1097" priority="94" operator="containsText" text="Outfall">
      <formula>NOT(ISERROR(SEARCH("Outfall",AD32)))</formula>
    </cfRule>
    <cfRule type="containsText" dxfId="1096" priority="95" operator="containsText" text="Petroleum">
      <formula>NOT(ISERROR(SEARCH("Petroleum",AD32)))</formula>
    </cfRule>
    <cfRule type="containsText" dxfId="1095" priority="96" operator="containsText" text="Laboratory">
      <formula>NOT(ISERROR(SEARCH("Laboratory",AD32)))</formula>
    </cfRule>
    <cfRule type="containsText" dxfId="1094" priority="97" operator="containsText" text="Odor Control">
      <formula>NOT(ISERROR(SEARCH("Odor Control",AD32)))</formula>
    </cfRule>
    <cfRule type="containsText" dxfId="1093" priority="98" operator="containsText" text="Ferric">
      <formula>NOT(ISERROR(SEARCH("Ferric",AD32)))</formula>
    </cfRule>
    <cfRule type="containsText" dxfId="1092" priority="99" operator="containsText" text="Chlorine">
      <formula>NOT(ISERROR(SEARCH("Chlorine",AD32)))</formula>
    </cfRule>
    <cfRule type="containsText" dxfId="1091" priority="100" operator="containsText" text="Potable">
      <formula>NOT(ISERROR(SEARCH("Potable",AD32)))</formula>
    </cfRule>
    <cfRule type="containsText" dxfId="1090" priority="101" operator="containsText" text="Natural Gas">
      <formula>NOT(ISERROR(SEARCH("Natural Gas",AD32)))</formula>
    </cfRule>
    <cfRule type="containsText" dxfId="1089" priority="102" operator="containsText" text="Electricity">
      <formula>NOT(ISERROR(SEARCH("Electricity",AD32)))</formula>
    </cfRule>
    <cfRule type="containsText" dxfId="1088" priority="103" operator="containsText" text="Single Area">
      <formula>NOT(ISERROR(SEARCH("Single Area",AD32)))</formula>
    </cfRule>
    <cfRule type="containsText" dxfId="1087" priority="104" operator="containsText" text="Actual Use">
      <formula>NOT(ISERROR(SEARCH("Actual Use",AD32)))</formula>
    </cfRule>
    <cfRule type="containsText" dxfId="1086" priority="105" operator="containsText" text="Labor -">
      <formula>NOT(ISERROR(SEARCH("Labor -",AD32)))</formula>
    </cfRule>
  </conditionalFormatting>
  <conditionalFormatting sqref="N21:N50">
    <cfRule type="containsText" dxfId="1085" priority="16" operator="containsText" text="Insurance">
      <formula>NOT(ISERROR(SEARCH("Insurance",N21)))</formula>
    </cfRule>
    <cfRule type="containsText" dxfId="1084" priority="17" operator="containsText" text="Region 9">
      <formula>NOT(ISERROR(SEARCH("Region 9",N21)))</formula>
    </cfRule>
    <cfRule type="containsText" dxfId="1083" priority="18" operator="containsText" text="ETM">
      <formula>NOT(ISERROR(SEARCH("ETM",N21)))</formula>
    </cfRule>
    <cfRule type="containsText" dxfId="1082" priority="19" operator="containsText" text="Outfall">
      <formula>NOT(ISERROR(SEARCH("Outfall",N21)))</formula>
    </cfRule>
    <cfRule type="containsText" dxfId="1081" priority="20" operator="containsText" text="Petroleum">
      <formula>NOT(ISERROR(SEARCH("Petroleum",N21)))</formula>
    </cfRule>
    <cfRule type="containsText" dxfId="1080" priority="21" operator="containsText" text="Laboratory">
      <formula>NOT(ISERROR(SEARCH("Laboratory",N21)))</formula>
    </cfRule>
    <cfRule type="containsText" dxfId="1079" priority="22" operator="containsText" text="Odor Control">
      <formula>NOT(ISERROR(SEARCH("Odor Control",N21)))</formula>
    </cfRule>
    <cfRule type="containsText" dxfId="1078" priority="23" operator="containsText" text="Ferric">
      <formula>NOT(ISERROR(SEARCH("Ferric",N21)))</formula>
    </cfRule>
    <cfRule type="containsText" dxfId="1077" priority="24" operator="containsText" text="Chlorine">
      <formula>NOT(ISERROR(SEARCH("Chlorine",N21)))</formula>
    </cfRule>
    <cfRule type="containsText" dxfId="1076" priority="25" operator="containsText" text="Potable">
      <formula>NOT(ISERROR(SEARCH("Potable",N21)))</formula>
    </cfRule>
    <cfRule type="containsText" dxfId="1075" priority="26" operator="containsText" text="Natural Gas">
      <formula>NOT(ISERROR(SEARCH("Natural Gas",N21)))</formula>
    </cfRule>
    <cfRule type="containsText" dxfId="1074" priority="27" operator="containsText" text="Electricity">
      <formula>NOT(ISERROR(SEARCH("Electricity",N21)))</formula>
    </cfRule>
    <cfRule type="containsText" dxfId="1073" priority="28" operator="containsText" text="Single Area">
      <formula>NOT(ISERROR(SEARCH("Single Area",N21)))</formula>
    </cfRule>
    <cfRule type="containsText" dxfId="1072" priority="29" operator="containsText" text="Actual Use">
      <formula>NOT(ISERROR(SEARCH("Actual Use",N21)))</formula>
    </cfRule>
    <cfRule type="containsText" dxfId="1071" priority="30" operator="containsText" text="Labor -">
      <formula>NOT(ISERROR(SEARCH("Labor -",N21)))</formula>
    </cfRule>
  </conditionalFormatting>
  <conditionalFormatting sqref="N7:N17">
    <cfRule type="containsText" dxfId="1070" priority="1" operator="containsText" text="Insurance">
      <formula>NOT(ISERROR(SEARCH("Insurance",N7)))</formula>
    </cfRule>
    <cfRule type="containsText" dxfId="1069" priority="2" operator="containsText" text="Region 9">
      <formula>NOT(ISERROR(SEARCH("Region 9",N7)))</formula>
    </cfRule>
    <cfRule type="containsText" dxfId="1068" priority="3" operator="containsText" text="ETM">
      <formula>NOT(ISERROR(SEARCH("ETM",N7)))</formula>
    </cfRule>
    <cfRule type="containsText" dxfId="1067" priority="4" operator="containsText" text="Outfall">
      <formula>NOT(ISERROR(SEARCH("Outfall",N7)))</formula>
    </cfRule>
    <cfRule type="containsText" dxfId="1066" priority="5" operator="containsText" text="Petroleum">
      <formula>NOT(ISERROR(SEARCH("Petroleum",N7)))</formula>
    </cfRule>
    <cfRule type="containsText" dxfId="1065" priority="6" operator="containsText" text="Laboratory">
      <formula>NOT(ISERROR(SEARCH("Laboratory",N7)))</formula>
    </cfRule>
    <cfRule type="containsText" dxfId="1064" priority="7" operator="containsText" text="Odor Control">
      <formula>NOT(ISERROR(SEARCH("Odor Control",N7)))</formula>
    </cfRule>
    <cfRule type="containsText" dxfId="1063" priority="8" operator="containsText" text="Ferric">
      <formula>NOT(ISERROR(SEARCH("Ferric",N7)))</formula>
    </cfRule>
    <cfRule type="containsText" dxfId="1062" priority="9" operator="containsText" text="Chlorine">
      <formula>NOT(ISERROR(SEARCH("Chlorine",N7)))</formula>
    </cfRule>
    <cfRule type="containsText" dxfId="1061" priority="10" operator="containsText" text="Potable">
      <formula>NOT(ISERROR(SEARCH("Potable",N7)))</formula>
    </cfRule>
    <cfRule type="containsText" dxfId="1060" priority="11" operator="containsText" text="Natural Gas">
      <formula>NOT(ISERROR(SEARCH("Natural Gas",N7)))</formula>
    </cfRule>
    <cfRule type="containsText" dxfId="1059" priority="12" operator="containsText" text="Electricity">
      <formula>NOT(ISERROR(SEARCH("Electricity",N7)))</formula>
    </cfRule>
    <cfRule type="containsText" dxfId="1058" priority="13" operator="containsText" text="Single Area">
      <formula>NOT(ISERROR(SEARCH("Single Area",N7)))</formula>
    </cfRule>
    <cfRule type="containsText" dxfId="1057" priority="14" operator="containsText" text="Actual Use">
      <formula>NOT(ISERROR(SEARCH("Actual Use",N7)))</formula>
    </cfRule>
    <cfRule type="containsText" dxfId="1056" priority="15" operator="containsText" text="Labor -">
      <formula>NOT(ISERROR(SEARCH("Labor -",N7)))</formula>
    </cfRule>
  </conditionalFormatting>
  <dataValidations count="1">
    <dataValidation type="list" showInputMessage="1" showErrorMessage="1" sqref="N7:N17" xr:uid="{00000000-0002-0000-0300-000000000000}">
      <formula1>$A$6:$A$33</formula1>
    </dataValidation>
  </dataValidations>
  <pageMargins left="0.7" right="0.7" top="0.75" bottom="0.75" header="0.3" footer="0.3"/>
  <pageSetup scale="2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300-000001000000}">
          <x14:formula1>
            <xm:f>'Apportionment Bases'!$A$6:$A$33</xm:f>
          </x14:formula1>
          <xm:sqref>N21:N50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BF36"/>
  <sheetViews>
    <sheetView showGridLines="0" zoomScale="90" zoomScaleNormal="90" workbookViewId="0">
      <pane xSplit="14" ySplit="5" topLeftCell="O6" activePane="bottomRight" state="frozen"/>
      <selection activeCell="B37" sqref="B37:L37"/>
      <selection pane="topRight" activeCell="B37" sqref="B37:L37"/>
      <selection pane="bottomLeft" activeCell="B37" sqref="B37:L37"/>
      <selection pane="bottomRight" activeCell="L12" activeCellId="1" sqref="L31 L12"/>
    </sheetView>
  </sheetViews>
  <sheetFormatPr defaultRowHeight="15" outlineLevelCol="1" x14ac:dyDescent="0.25"/>
  <cols>
    <col min="1" max="1" width="3.28515625" style="3" bestFit="1" customWidth="1"/>
    <col min="2" max="2" width="13.28515625" style="3" bestFit="1" customWidth="1"/>
    <col min="3" max="3" width="5.28515625" style="3" hidden="1" customWidth="1" outlineLevel="1"/>
    <col min="4" max="4" width="4.7109375" style="3" hidden="1" customWidth="1" outlineLevel="1"/>
    <col min="5" max="5" width="4" style="3" hidden="1" customWidth="1" outlineLevel="1"/>
    <col min="6" max="6" width="17.140625" style="3" hidden="1" customWidth="1" outlineLevel="1"/>
    <col min="7" max="7" width="41.85546875" customWidth="1" collapsed="1"/>
    <col min="8" max="11" width="9.5703125" hidden="1" customWidth="1" outlineLevel="1"/>
    <col min="12" max="12" width="10.7109375" style="12" bestFit="1" customWidth="1" collapsed="1"/>
    <col min="13" max="13" width="3.7109375" customWidth="1"/>
    <col min="14" max="14" width="26" bestFit="1" customWidth="1"/>
    <col min="15" max="15" width="3.28515625" customWidth="1"/>
    <col min="16" max="17" width="11.85546875" customWidth="1"/>
    <col min="18" max="18" width="3.42578125" customWidth="1"/>
    <col min="19" max="20" width="12.28515625" customWidth="1"/>
    <col min="21" max="21" width="6.5703125" customWidth="1"/>
    <col min="22" max="24" width="10.42578125" customWidth="1"/>
    <col min="25" max="25" width="1.140625" customWidth="1"/>
    <col min="26" max="26" width="9.42578125" bestFit="1" customWidth="1"/>
    <col min="27" max="27" width="9.5703125" customWidth="1"/>
    <col min="28" max="28" width="1.140625" customWidth="1"/>
    <col min="29" max="29" width="9.5703125" bestFit="1" customWidth="1"/>
    <col min="30" max="30" width="9.5703125" customWidth="1"/>
    <col min="31" max="31" width="1.140625" customWidth="1"/>
    <col min="32" max="32" width="9.5703125" bestFit="1" customWidth="1"/>
    <col min="33" max="33" width="9.5703125" customWidth="1"/>
    <col min="34" max="34" width="1.140625" customWidth="1"/>
    <col min="35" max="35" width="9.5703125" bestFit="1" customWidth="1"/>
    <col min="36" max="36" width="9.5703125" customWidth="1"/>
    <col min="37" max="37" width="1.140625" customWidth="1"/>
    <col min="38" max="38" width="9.140625" customWidth="1"/>
    <col min="39" max="39" width="9.5703125" customWidth="1"/>
    <col min="40" max="40" width="1.140625" customWidth="1"/>
    <col min="41" max="41" width="9.5703125" bestFit="1" customWidth="1"/>
    <col min="42" max="42" width="9.5703125" customWidth="1"/>
    <col min="43" max="43" width="1.140625" customWidth="1"/>
    <col min="44" max="44" width="9.5703125" bestFit="1" customWidth="1"/>
    <col min="45" max="45" width="9.5703125" customWidth="1"/>
    <col min="46" max="46" width="1.140625" customWidth="1"/>
    <col min="47" max="51" width="0" hidden="1" customWidth="1"/>
    <col min="52" max="52" width="2.28515625" hidden="1" customWidth="1"/>
    <col min="53" max="53" width="9.140625" customWidth="1"/>
    <col min="54" max="54" width="9.5703125" customWidth="1"/>
    <col min="55" max="55" width="1.140625" customWidth="1"/>
    <col min="56" max="56" width="9.140625" customWidth="1"/>
    <col min="57" max="57" width="9.5703125" customWidth="1"/>
    <col min="58" max="58" width="1.7109375" customWidth="1"/>
  </cols>
  <sheetData>
    <row r="1" spans="1:58" ht="23.25" x14ac:dyDescent="0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R1" s="11"/>
      <c r="U1" s="176"/>
      <c r="X1" s="43"/>
      <c r="Y1" s="43"/>
      <c r="AO1" s="76"/>
    </row>
    <row r="2" spans="1:58" ht="23.25" x14ac:dyDescent="0.25">
      <c r="A2" s="752" t="s">
        <v>294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R2" s="11"/>
      <c r="U2" s="176"/>
      <c r="X2" s="43"/>
      <c r="Y2" s="43"/>
      <c r="AO2" s="76"/>
    </row>
    <row r="3" spans="1:58" ht="7.5" customHeight="1" x14ac:dyDescent="0.25">
      <c r="A3" s="158"/>
      <c r="B3" s="158"/>
      <c r="C3" s="158"/>
      <c r="D3" s="158"/>
      <c r="E3" s="158"/>
      <c r="F3" s="158"/>
      <c r="G3" s="158"/>
      <c r="H3" s="1"/>
      <c r="I3" s="1"/>
      <c r="J3" s="1"/>
      <c r="K3" s="1"/>
      <c r="L3" s="1"/>
      <c r="N3" s="2"/>
      <c r="R3" s="11"/>
      <c r="U3" s="176"/>
      <c r="X3" s="43"/>
      <c r="Y3" s="300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5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</row>
    <row r="4" spans="1:58" ht="24" thickBot="1" x14ac:dyDescent="0.35">
      <c r="H4" s="1"/>
      <c r="I4" s="1"/>
      <c r="J4" s="1"/>
      <c r="K4" s="1"/>
      <c r="L4" s="1"/>
      <c r="N4" s="2"/>
      <c r="P4" s="759" t="s">
        <v>2</v>
      </c>
      <c r="Q4" s="759"/>
      <c r="S4" s="759" t="s">
        <v>184</v>
      </c>
      <c r="T4" s="759"/>
      <c r="V4" s="759" t="s">
        <v>248</v>
      </c>
      <c r="W4" s="759"/>
      <c r="X4" s="759"/>
      <c r="Y4" s="301"/>
      <c r="Z4" s="759" t="s">
        <v>162</v>
      </c>
      <c r="AA4" s="759"/>
      <c r="AB4" s="301"/>
      <c r="AC4" s="759" t="s">
        <v>163</v>
      </c>
      <c r="AD4" s="759"/>
      <c r="AE4" s="301"/>
      <c r="AF4" s="759" t="s">
        <v>164</v>
      </c>
      <c r="AG4" s="759"/>
      <c r="AH4" s="307"/>
      <c r="AI4" s="759" t="s">
        <v>165</v>
      </c>
      <c r="AJ4" s="759"/>
      <c r="AK4" s="307"/>
      <c r="AL4" s="759" t="s">
        <v>171</v>
      </c>
      <c r="AM4" s="759"/>
      <c r="AN4" s="307"/>
      <c r="AO4" s="759" t="s">
        <v>173</v>
      </c>
      <c r="AP4" s="759"/>
      <c r="AQ4" s="307"/>
      <c r="AR4" s="759" t="s">
        <v>175</v>
      </c>
      <c r="AS4" s="759"/>
      <c r="AT4" s="307"/>
      <c r="AU4" s="759" t="s">
        <v>177</v>
      </c>
      <c r="AV4" s="759"/>
      <c r="AW4" s="759"/>
      <c r="AX4" s="759"/>
      <c r="AY4" s="759"/>
      <c r="AZ4" s="181"/>
      <c r="BA4" s="759" t="s">
        <v>178</v>
      </c>
      <c r="BB4" s="759"/>
      <c r="BC4" s="307"/>
      <c r="BD4" s="759" t="s">
        <v>181</v>
      </c>
      <c r="BE4" s="759"/>
      <c r="BF4" s="301"/>
    </row>
    <row r="5" spans="1:58" s="12" customFormat="1" ht="16.5" thickTop="1" thickBot="1" x14ac:dyDescent="0.3">
      <c r="A5" s="13" t="s">
        <v>36</v>
      </c>
      <c r="B5" s="13" t="s">
        <v>37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4">
        <v>43101</v>
      </c>
      <c r="I5" s="14">
        <v>43191</v>
      </c>
      <c r="J5" s="14">
        <v>43282</v>
      </c>
      <c r="K5" s="14">
        <v>43374</v>
      </c>
      <c r="L5" s="32" t="s">
        <v>43</v>
      </c>
      <c r="N5" s="322" t="s">
        <v>694</v>
      </c>
      <c r="P5" s="189" t="s">
        <v>262</v>
      </c>
      <c r="Q5" s="190" t="s">
        <v>263</v>
      </c>
      <c r="S5" s="189" t="s">
        <v>262</v>
      </c>
      <c r="T5" s="190" t="s">
        <v>263</v>
      </c>
      <c r="U5" s="218" t="s">
        <v>185</v>
      </c>
      <c r="W5" s="189" t="s">
        <v>262</v>
      </c>
      <c r="X5" s="190" t="s">
        <v>263</v>
      </c>
      <c r="Y5" s="302"/>
      <c r="Z5" s="189" t="s">
        <v>262</v>
      </c>
      <c r="AA5" s="190" t="s">
        <v>263</v>
      </c>
      <c r="AB5" s="302"/>
      <c r="AC5" s="189" t="s">
        <v>262</v>
      </c>
      <c r="AD5" s="190" t="s">
        <v>263</v>
      </c>
      <c r="AE5" s="302"/>
      <c r="AF5" s="189" t="s">
        <v>262</v>
      </c>
      <c r="AG5" s="190" t="s">
        <v>263</v>
      </c>
      <c r="AH5" s="302"/>
      <c r="AI5" s="189" t="s">
        <v>262</v>
      </c>
      <c r="AJ5" s="190" t="s">
        <v>263</v>
      </c>
      <c r="AK5" s="302"/>
      <c r="AL5" s="189" t="s">
        <v>262</v>
      </c>
      <c r="AM5" s="190" t="s">
        <v>263</v>
      </c>
      <c r="AN5" s="302"/>
      <c r="AO5" s="189" t="s">
        <v>262</v>
      </c>
      <c r="AP5" s="190" t="s">
        <v>263</v>
      </c>
      <c r="AQ5" s="302"/>
      <c r="AR5" s="189" t="s">
        <v>262</v>
      </c>
      <c r="AS5" s="190" t="s">
        <v>263</v>
      </c>
      <c r="AT5" s="302"/>
      <c r="AU5" s="8" t="s">
        <v>4</v>
      </c>
      <c r="AV5" s="8" t="s">
        <v>3</v>
      </c>
      <c r="AW5" s="8" t="s">
        <v>32</v>
      </c>
      <c r="AX5" s="7" t="s">
        <v>262</v>
      </c>
      <c r="AY5" s="7" t="s">
        <v>263</v>
      </c>
      <c r="BA5" s="189" t="s">
        <v>262</v>
      </c>
      <c r="BB5" s="190" t="s">
        <v>263</v>
      </c>
      <c r="BC5" s="302"/>
      <c r="BD5" s="189" t="s">
        <v>262</v>
      </c>
      <c r="BE5" s="190" t="s">
        <v>263</v>
      </c>
      <c r="BF5" s="302"/>
    </row>
    <row r="6" spans="1:58" s="4" customFormat="1" ht="15.75" thickBot="1" x14ac:dyDescent="0.3">
      <c r="A6" s="761" t="s">
        <v>44</v>
      </c>
      <c r="B6" s="761"/>
      <c r="C6" s="761"/>
      <c r="D6" s="761"/>
      <c r="E6" s="761"/>
      <c r="F6" s="761"/>
      <c r="G6" s="761"/>
      <c r="H6" s="15"/>
      <c r="I6" s="15"/>
      <c r="J6" s="15"/>
      <c r="K6" s="15"/>
      <c r="L6" s="15"/>
      <c r="M6" s="65"/>
      <c r="N6" s="112"/>
      <c r="O6" s="65"/>
      <c r="P6" s="65"/>
      <c r="Q6" s="65"/>
      <c r="R6" s="65"/>
      <c r="S6" s="65"/>
      <c r="T6" s="65"/>
      <c r="U6" s="41"/>
      <c r="Y6" s="302"/>
      <c r="AB6" s="302"/>
      <c r="AE6" s="302"/>
      <c r="AH6" s="302"/>
      <c r="AK6" s="302"/>
      <c r="AN6" s="302"/>
      <c r="AQ6" s="302"/>
      <c r="AT6" s="302"/>
      <c r="BC6" s="302"/>
      <c r="BF6" s="302"/>
    </row>
    <row r="7" spans="1:58" x14ac:dyDescent="0.25">
      <c r="A7" s="3" t="s">
        <v>264</v>
      </c>
      <c r="B7" s="3" t="s">
        <v>46</v>
      </c>
      <c r="C7" s="3" t="s">
        <v>45</v>
      </c>
      <c r="D7" s="3" t="s">
        <v>48</v>
      </c>
      <c r="E7" s="3" t="s">
        <v>48</v>
      </c>
      <c r="F7" s="3" t="s">
        <v>274</v>
      </c>
      <c r="G7" t="s">
        <v>49</v>
      </c>
      <c r="H7" s="67">
        <f t="shared" ref="H7:K28" si="0">$L7/4</f>
        <v>20876.25</v>
      </c>
      <c r="I7" s="67">
        <f t="shared" si="0"/>
        <v>20876.25</v>
      </c>
      <c r="J7" s="67">
        <f t="shared" si="0"/>
        <v>20876.25</v>
      </c>
      <c r="K7" s="67">
        <f>$L7/4</f>
        <v>20876.25</v>
      </c>
      <c r="L7" s="705">
        <v>83505</v>
      </c>
      <c r="N7" s="206" t="s">
        <v>478</v>
      </c>
      <c r="P7" s="195">
        <f>INDEX('Apportionment Bases'!Y$6:Y$33,MATCH('PC8'!$N7,'Apportionment Bases'!$A$6:$A$33,0))</f>
        <v>1</v>
      </c>
      <c r="Q7" s="195">
        <f>INDEX('Apportionment Bases'!Z$6:Z$33,MATCH('PC8'!$N7,'Apportionment Bases'!$A$6:$A$33,0))</f>
        <v>0</v>
      </c>
      <c r="S7" s="72">
        <f>P7*L7</f>
        <v>83505</v>
      </c>
      <c r="T7" s="72">
        <f>Q7*L7</f>
        <v>0</v>
      </c>
      <c r="U7" s="266" t="str">
        <f>IF(SUM(S7:T7)=L7,"TRUE","FALSE")</f>
        <v>TRUE</v>
      </c>
      <c r="V7" s="108" t="s">
        <v>162</v>
      </c>
      <c r="W7" s="177">
        <f>'Apportionment Assumptions'!Q7</f>
        <v>7.5999999999999998E-2</v>
      </c>
      <c r="X7" s="178">
        <f>'Apportionment Assumptions'!R7</f>
        <v>0.1111111111111111</v>
      </c>
      <c r="Y7" s="301"/>
      <c r="Z7" s="72">
        <f>$W$7*S7</f>
        <v>6346.38</v>
      </c>
      <c r="AA7" s="72">
        <f>$X$7*T7</f>
        <v>0</v>
      </c>
      <c r="AB7" s="301"/>
      <c r="AC7" s="72">
        <f>$W$8*S7</f>
        <v>18204.09</v>
      </c>
      <c r="AD7" s="72">
        <f>$X$8*T7</f>
        <v>0</v>
      </c>
      <c r="AE7" s="301"/>
      <c r="AF7" s="72">
        <f>$W$9*S7</f>
        <v>14696.88</v>
      </c>
      <c r="AG7" s="72">
        <f>$X$9*T7</f>
        <v>0</v>
      </c>
      <c r="AH7" s="301"/>
      <c r="AI7" s="72">
        <f>$W$10*S7</f>
        <v>19289.655000000002</v>
      </c>
      <c r="AJ7" s="72">
        <f>$X$10*T7</f>
        <v>0</v>
      </c>
      <c r="AK7" s="301"/>
      <c r="AL7" s="72">
        <f>$W$11*S7</f>
        <v>3924.7350000000001</v>
      </c>
      <c r="AM7" s="72">
        <f>$X$11*T7</f>
        <v>0</v>
      </c>
      <c r="AN7" s="301"/>
      <c r="AO7" s="72">
        <f>$W$12*S7</f>
        <v>8016.4800000000005</v>
      </c>
      <c r="AP7" s="72">
        <f>$X$12*T7</f>
        <v>0</v>
      </c>
      <c r="AQ7" s="301"/>
      <c r="AR7" s="72">
        <f>$W$13*S7</f>
        <v>6763.9050000000007</v>
      </c>
      <c r="AS7" s="72">
        <f>$X$13*T7</f>
        <v>0</v>
      </c>
      <c r="AT7" s="301"/>
      <c r="BA7" s="72">
        <f>$W$14*S7</f>
        <v>751.54499999999996</v>
      </c>
      <c r="BB7" s="72">
        <f>$X$14*T7</f>
        <v>0</v>
      </c>
      <c r="BC7" s="301"/>
      <c r="BD7" s="72">
        <f>$W$15*S7</f>
        <v>5511.33</v>
      </c>
      <c r="BE7" s="72">
        <f>$X$15*T7</f>
        <v>0</v>
      </c>
      <c r="BF7" s="301"/>
    </row>
    <row r="8" spans="1:58" x14ac:dyDescent="0.25">
      <c r="A8" s="3" t="s">
        <v>264</v>
      </c>
      <c r="B8" s="3" t="s">
        <v>50</v>
      </c>
      <c r="C8" s="3" t="s">
        <v>45</v>
      </c>
      <c r="D8" s="3" t="s">
        <v>48</v>
      </c>
      <c r="E8" s="3" t="s">
        <v>48</v>
      </c>
      <c r="F8" s="3" t="s">
        <v>275</v>
      </c>
      <c r="G8" t="s">
        <v>51</v>
      </c>
      <c r="H8" s="67">
        <f t="shared" si="0"/>
        <v>352</v>
      </c>
      <c r="I8" s="67">
        <f t="shared" si="0"/>
        <v>352</v>
      </c>
      <c r="J8" s="67">
        <f t="shared" si="0"/>
        <v>352</v>
      </c>
      <c r="K8" s="67">
        <f>$L8/4</f>
        <v>352</v>
      </c>
      <c r="L8" s="705">
        <v>1408</v>
      </c>
      <c r="N8" s="206" t="s">
        <v>478</v>
      </c>
      <c r="P8" s="195">
        <f>INDEX('Apportionment Bases'!Y$6:Y$33,MATCH('PC8'!$N8,'Apportionment Bases'!$A$6:$A$33,0))</f>
        <v>1</v>
      </c>
      <c r="Q8" s="195">
        <f>INDEX('Apportionment Bases'!Z$6:Z$33,MATCH('PC8'!$N8,'Apportionment Bases'!$A$6:$A$33,0))</f>
        <v>0</v>
      </c>
      <c r="S8" s="72">
        <f>P8*L8</f>
        <v>1408</v>
      </c>
      <c r="T8" s="72">
        <f>Q8*L8</f>
        <v>0</v>
      </c>
      <c r="U8" s="266" t="str">
        <f t="shared" ref="U8:U9" si="1">IF(SUM(S8:T8)=L8,"TRUE","FALSE")</f>
        <v>TRUE</v>
      </c>
      <c r="V8" s="108" t="s">
        <v>163</v>
      </c>
      <c r="W8" s="177">
        <f>'Apportionment Assumptions'!Q8</f>
        <v>0.218</v>
      </c>
      <c r="X8" s="178">
        <f>'Apportionment Assumptions'!R8</f>
        <v>0.1111111111111111</v>
      </c>
      <c r="Y8" s="301"/>
      <c r="Z8" s="72">
        <f t="shared" ref="Z8:Z11" si="2">$W$7*S8</f>
        <v>107.008</v>
      </c>
      <c r="AA8" s="72">
        <f t="shared" ref="AA8:AA11" si="3">$X$7*T8</f>
        <v>0</v>
      </c>
      <c r="AB8" s="301"/>
      <c r="AC8" s="72">
        <f t="shared" ref="AC8:AC11" si="4">$W$8*S8</f>
        <v>306.94400000000002</v>
      </c>
      <c r="AD8" s="72">
        <f t="shared" ref="AD8:AD11" si="5">$X$8*T8</f>
        <v>0</v>
      </c>
      <c r="AE8" s="301"/>
      <c r="AF8" s="72">
        <f t="shared" ref="AF8:AF11" si="6">$W$9*S8</f>
        <v>247.80799999999999</v>
      </c>
      <c r="AG8" s="72">
        <f t="shared" ref="AG8:AG11" si="7">$X$9*T8</f>
        <v>0</v>
      </c>
      <c r="AH8" s="301"/>
      <c r="AI8" s="72">
        <f>$W$10*S8</f>
        <v>325.24799999999999</v>
      </c>
      <c r="AJ8" s="72">
        <f>$X$10*T8</f>
        <v>0</v>
      </c>
      <c r="AK8" s="301"/>
      <c r="AL8" s="72">
        <f>$W$11*S8</f>
        <v>66.176000000000002</v>
      </c>
      <c r="AM8" s="72">
        <f>$X$11*T8</f>
        <v>0</v>
      </c>
      <c r="AN8" s="301"/>
      <c r="AO8" s="72">
        <f>$W$12*S8</f>
        <v>135.16800000000001</v>
      </c>
      <c r="AP8" s="72">
        <f>$X$12*T8</f>
        <v>0</v>
      </c>
      <c r="AQ8" s="301"/>
      <c r="AR8" s="72">
        <f>$W$13*S8</f>
        <v>114.048</v>
      </c>
      <c r="AS8" s="72">
        <f>$X$13*T8</f>
        <v>0</v>
      </c>
      <c r="AT8" s="301"/>
      <c r="BA8" s="72">
        <f>$W$14*S8</f>
        <v>12.671999999999999</v>
      </c>
      <c r="BB8" s="72">
        <f>$X$14*T8</f>
        <v>0</v>
      </c>
      <c r="BC8" s="301"/>
      <c r="BD8" s="72">
        <f>$W$15*S8</f>
        <v>92.927999999999997</v>
      </c>
      <c r="BE8" s="72">
        <f>$X$15*T8</f>
        <v>0</v>
      </c>
      <c r="BF8" s="301"/>
    </row>
    <row r="9" spans="1:58" x14ac:dyDescent="0.25">
      <c r="A9" s="3" t="s">
        <v>264</v>
      </c>
      <c r="B9" s="3" t="s">
        <v>54</v>
      </c>
      <c r="C9" s="3" t="s">
        <v>45</v>
      </c>
      <c r="D9" s="3" t="s">
        <v>48</v>
      </c>
      <c r="E9" s="3" t="s">
        <v>48</v>
      </c>
      <c r="F9" s="3" t="s">
        <v>291</v>
      </c>
      <c r="G9" t="s">
        <v>55</v>
      </c>
      <c r="H9" s="67">
        <f t="shared" ref="H9:J11" si="8">$L9/4</f>
        <v>50</v>
      </c>
      <c r="I9" s="67">
        <f t="shared" si="8"/>
        <v>50</v>
      </c>
      <c r="J9" s="67">
        <f t="shared" si="8"/>
        <v>50</v>
      </c>
      <c r="K9" s="67">
        <f>$L9/4</f>
        <v>50</v>
      </c>
      <c r="L9" s="705">
        <v>200</v>
      </c>
      <c r="N9" s="206" t="s">
        <v>478</v>
      </c>
      <c r="P9" s="195">
        <f>INDEX('Apportionment Bases'!Y$6:Y$33,MATCH('PC8'!$N9,'Apportionment Bases'!$A$6:$A$33,0))</f>
        <v>1</v>
      </c>
      <c r="Q9" s="195">
        <f>INDEX('Apportionment Bases'!Z$6:Z$33,MATCH('PC8'!$N9,'Apportionment Bases'!$A$6:$A$33,0))</f>
        <v>0</v>
      </c>
      <c r="S9" s="72">
        <f>P9*L9</f>
        <v>200</v>
      </c>
      <c r="T9" s="72">
        <f>Q9*L9</f>
        <v>0</v>
      </c>
      <c r="U9" s="266" t="str">
        <f t="shared" si="1"/>
        <v>TRUE</v>
      </c>
      <c r="V9" s="108" t="s">
        <v>164</v>
      </c>
      <c r="W9" s="177">
        <f>'Apportionment Assumptions'!Q9</f>
        <v>0.17599999999999999</v>
      </c>
      <c r="X9" s="178">
        <f>'Apportionment Assumptions'!R9</f>
        <v>0.1111111111111111</v>
      </c>
      <c r="Y9" s="301"/>
      <c r="Z9" s="72">
        <f t="shared" si="2"/>
        <v>15.2</v>
      </c>
      <c r="AA9" s="72">
        <f t="shared" si="3"/>
        <v>0</v>
      </c>
      <c r="AB9" s="301"/>
      <c r="AC9" s="72">
        <f t="shared" si="4"/>
        <v>43.6</v>
      </c>
      <c r="AD9" s="72">
        <f t="shared" si="5"/>
        <v>0</v>
      </c>
      <c r="AE9" s="301"/>
      <c r="AF9" s="72">
        <f t="shared" si="6"/>
        <v>35.199999999999996</v>
      </c>
      <c r="AG9" s="72">
        <f t="shared" si="7"/>
        <v>0</v>
      </c>
      <c r="AH9" s="301"/>
      <c r="AI9" s="72">
        <f>$W$10*S9</f>
        <v>46.2</v>
      </c>
      <c r="AJ9" s="72">
        <f>$X$10*T9</f>
        <v>0</v>
      </c>
      <c r="AK9" s="301"/>
      <c r="AL9" s="72">
        <f>$W$11*S9</f>
        <v>9.4</v>
      </c>
      <c r="AM9" s="72">
        <f>$X$11*T9</f>
        <v>0</v>
      </c>
      <c r="AN9" s="301"/>
      <c r="AO9" s="72">
        <f>$W$12*S9</f>
        <v>19.2</v>
      </c>
      <c r="AP9" s="72">
        <f>$X$12*T9</f>
        <v>0</v>
      </c>
      <c r="AQ9" s="301"/>
      <c r="AR9" s="72">
        <f>$W$13*S9</f>
        <v>16.2</v>
      </c>
      <c r="AS9" s="72">
        <f>$X$13*T9</f>
        <v>0</v>
      </c>
      <c r="AT9" s="301"/>
      <c r="BA9" s="72">
        <f>$W$14*S9</f>
        <v>1.7999999999999998</v>
      </c>
      <c r="BB9" s="72">
        <f>$X$14*T9</f>
        <v>0</v>
      </c>
      <c r="BC9" s="301"/>
      <c r="BD9" s="72">
        <f>$W$15*S9</f>
        <v>13.200000000000001</v>
      </c>
      <c r="BE9" s="72">
        <f>$X$15*T9</f>
        <v>0</v>
      </c>
      <c r="BF9" s="301"/>
    </row>
    <row r="10" spans="1:58" x14ac:dyDescent="0.25">
      <c r="A10" s="35" t="s">
        <v>264</v>
      </c>
      <c r="B10" s="35" t="s">
        <v>58</v>
      </c>
      <c r="C10" s="35" t="s">
        <v>47</v>
      </c>
      <c r="D10" s="105" t="s">
        <v>48</v>
      </c>
      <c r="E10" s="35" t="s">
        <v>48</v>
      </c>
      <c r="F10" s="17" t="str">
        <f>CONCATENATE(A10,"-",B10,"-",C10,"-",D10,"-",E10)</f>
        <v>08-5315-01-00-00</v>
      </c>
      <c r="G10" s="36" t="s">
        <v>59</v>
      </c>
      <c r="H10" s="63">
        <f t="shared" si="8"/>
        <v>0</v>
      </c>
      <c r="I10" s="63">
        <f t="shared" si="8"/>
        <v>0</v>
      </c>
      <c r="J10" s="63">
        <f t="shared" si="8"/>
        <v>0</v>
      </c>
      <c r="K10" s="63">
        <f>$L10/4</f>
        <v>0</v>
      </c>
      <c r="L10" s="705">
        <v>0</v>
      </c>
      <c r="M10" s="62"/>
      <c r="N10" s="206" t="s">
        <v>531</v>
      </c>
      <c r="P10" s="195">
        <f>INDEX('Apportionment Bases'!Y$6:Y$33,MATCH('PC8'!$N10,'Apportionment Bases'!$A$6:$A$33,0))</f>
        <v>1</v>
      </c>
      <c r="Q10" s="195">
        <f>INDEX('Apportionment Bases'!Z$6:Z$33,MATCH('PC8'!$N10,'Apportionment Bases'!$A$6:$A$33,0))</f>
        <v>0</v>
      </c>
      <c r="S10" s="72">
        <f>P10*L10</f>
        <v>0</v>
      </c>
      <c r="T10" s="72">
        <f>Q10*L10</f>
        <v>0</v>
      </c>
      <c r="U10" s="266"/>
      <c r="V10" s="108" t="s">
        <v>165</v>
      </c>
      <c r="W10" s="177">
        <f>'Apportionment Assumptions'!Q10</f>
        <v>0.23100000000000001</v>
      </c>
      <c r="X10" s="178">
        <f>'Apportionment Assumptions'!R10</f>
        <v>0.1111111111111111</v>
      </c>
      <c r="Y10" s="301"/>
      <c r="Z10" s="72">
        <f t="shared" ref="Z10" si="9">$W$7*S10</f>
        <v>0</v>
      </c>
      <c r="AA10" s="72">
        <f t="shared" ref="AA10" si="10">$X$7*T10</f>
        <v>0</v>
      </c>
      <c r="AB10" s="301"/>
      <c r="AC10" s="72">
        <f t="shared" ref="AC10" si="11">$W$8*S10</f>
        <v>0</v>
      </c>
      <c r="AD10" s="72">
        <f t="shared" ref="AD10" si="12">$X$8*T10</f>
        <v>0</v>
      </c>
      <c r="AE10" s="301"/>
      <c r="AF10" s="72">
        <f t="shared" ref="AF10" si="13">$W$9*S10</f>
        <v>0</v>
      </c>
      <c r="AG10" s="72">
        <f t="shared" ref="AG10" si="14">$X$9*T10</f>
        <v>0</v>
      </c>
      <c r="AH10" s="301"/>
      <c r="AI10" s="72">
        <f>$W$10*S10</f>
        <v>0</v>
      </c>
      <c r="AJ10" s="72">
        <f>$X$10*T10</f>
        <v>0</v>
      </c>
      <c r="AK10" s="301"/>
      <c r="AL10" s="72">
        <f>$W$11*S10</f>
        <v>0</v>
      </c>
      <c r="AM10" s="72">
        <f>$X$11*T10</f>
        <v>0</v>
      </c>
      <c r="AN10" s="301"/>
      <c r="AO10" s="72">
        <f>$W$12*S10</f>
        <v>0</v>
      </c>
      <c r="AP10" s="72">
        <f>$X$12*T10</f>
        <v>0</v>
      </c>
      <c r="AQ10" s="301"/>
      <c r="AR10" s="72">
        <f>$W$13*S10</f>
        <v>0</v>
      </c>
      <c r="AS10" s="72">
        <f>$X$13*T10</f>
        <v>0</v>
      </c>
      <c r="AT10" s="301"/>
      <c r="BA10" s="72">
        <f>$W$14*S10</f>
        <v>0</v>
      </c>
      <c r="BB10" s="72">
        <f>$X$14*T10</f>
        <v>0</v>
      </c>
      <c r="BC10" s="301"/>
      <c r="BD10" s="72">
        <f>$W$15*S10</f>
        <v>0</v>
      </c>
      <c r="BE10" s="72">
        <f>$X$15*T10</f>
        <v>0</v>
      </c>
      <c r="BF10" s="301"/>
    </row>
    <row r="11" spans="1:58" x14ac:dyDescent="0.25">
      <c r="A11" s="3" t="s">
        <v>264</v>
      </c>
      <c r="B11" s="3" t="s">
        <v>60</v>
      </c>
      <c r="C11" s="3" t="s">
        <v>45</v>
      </c>
      <c r="D11" s="3" t="s">
        <v>48</v>
      </c>
      <c r="E11" s="3" t="s">
        <v>48</v>
      </c>
      <c r="F11" s="3" t="s">
        <v>292</v>
      </c>
      <c r="G11" t="s">
        <v>61</v>
      </c>
      <c r="H11" s="67">
        <f t="shared" si="8"/>
        <v>15490.25</v>
      </c>
      <c r="I11" s="67">
        <f t="shared" si="8"/>
        <v>15490.25</v>
      </c>
      <c r="J11" s="67">
        <f t="shared" si="8"/>
        <v>15490.25</v>
      </c>
      <c r="K11" s="67">
        <f>$L11/4</f>
        <v>15490.25</v>
      </c>
      <c r="L11" s="705">
        <v>61961</v>
      </c>
      <c r="N11" s="206" t="s">
        <v>480</v>
      </c>
      <c r="P11" s="195">
        <f>INDEX('Apportionment Bases'!Y$6:Y$33,MATCH('PC8'!$N11,'Apportionment Bases'!$A$6:$A$33,0))</f>
        <v>1</v>
      </c>
      <c r="Q11" s="195">
        <f>INDEX('Apportionment Bases'!Z$6:Z$33,MATCH('PC8'!$N11,'Apportionment Bases'!$A$6:$A$33,0))</f>
        <v>0</v>
      </c>
      <c r="S11" s="72">
        <f>P11*L11</f>
        <v>61961</v>
      </c>
      <c r="T11" s="72">
        <f>Q11*L11</f>
        <v>0</v>
      </c>
      <c r="U11" s="266" t="str">
        <f>IF(SUM(S11:T11)=L11,"TRUE","FALSE")</f>
        <v>TRUE</v>
      </c>
      <c r="V11" s="108" t="s">
        <v>171</v>
      </c>
      <c r="W11" s="177">
        <f>'Apportionment Assumptions'!Q11</f>
        <v>4.7E-2</v>
      </c>
      <c r="X11" s="178">
        <f>'Apportionment Assumptions'!R11</f>
        <v>0.1111111111111111</v>
      </c>
      <c r="Y11" s="301"/>
      <c r="Z11" s="72">
        <f t="shared" si="2"/>
        <v>4709.0360000000001</v>
      </c>
      <c r="AA11" s="72">
        <f t="shared" si="3"/>
        <v>0</v>
      </c>
      <c r="AB11" s="301"/>
      <c r="AC11" s="72">
        <f t="shared" si="4"/>
        <v>13507.498</v>
      </c>
      <c r="AD11" s="72">
        <f t="shared" si="5"/>
        <v>0</v>
      </c>
      <c r="AE11" s="301"/>
      <c r="AF11" s="72">
        <f t="shared" si="6"/>
        <v>10905.135999999999</v>
      </c>
      <c r="AG11" s="72">
        <f t="shared" si="7"/>
        <v>0</v>
      </c>
      <c r="AH11" s="301"/>
      <c r="AI11" s="72">
        <f>$W$10*S11</f>
        <v>14312.991</v>
      </c>
      <c r="AJ11" s="72">
        <f>$X$10*T11</f>
        <v>0</v>
      </c>
      <c r="AK11" s="301"/>
      <c r="AL11" s="72">
        <f>$W$11*S11</f>
        <v>2912.1669999999999</v>
      </c>
      <c r="AM11" s="72">
        <f>$X$11*T11</f>
        <v>0</v>
      </c>
      <c r="AN11" s="301"/>
      <c r="AO11" s="72">
        <f>$W$12*S11</f>
        <v>5948.2560000000003</v>
      </c>
      <c r="AP11" s="72">
        <f>$X$12*T11</f>
        <v>0</v>
      </c>
      <c r="AQ11" s="301"/>
      <c r="AR11" s="72">
        <f>$W$13*S11</f>
        <v>5018.8410000000003</v>
      </c>
      <c r="AS11" s="72">
        <f>$X$13*T11</f>
        <v>0</v>
      </c>
      <c r="AT11" s="301"/>
      <c r="BA11" s="72">
        <f>$W$14*S11</f>
        <v>557.649</v>
      </c>
      <c r="BB11" s="72">
        <f>$X$14*T11</f>
        <v>0</v>
      </c>
      <c r="BC11" s="301"/>
      <c r="BD11" s="72">
        <f>$W$15*S11</f>
        <v>4089.4260000000004</v>
      </c>
      <c r="BE11" s="72">
        <f>$X$15*T11</f>
        <v>0</v>
      </c>
      <c r="BF11" s="301"/>
    </row>
    <row r="12" spans="1:58" ht="15.75" thickBot="1" x14ac:dyDescent="0.3">
      <c r="A12" s="21"/>
      <c r="B12" s="21"/>
      <c r="C12" s="21"/>
      <c r="D12" s="21"/>
      <c r="E12" s="21"/>
      <c r="F12" s="22"/>
      <c r="G12" s="23" t="s">
        <v>64</v>
      </c>
      <c r="H12" s="24">
        <f>SUM(H7:H11)</f>
        <v>36768.5</v>
      </c>
      <c r="I12" s="24">
        <f>SUM(I7:I11)</f>
        <v>36768.5</v>
      </c>
      <c r="J12" s="24">
        <f>SUM(J7:J11)</f>
        <v>36768.5</v>
      </c>
      <c r="K12" s="24">
        <f>SUM(K7:K11)</f>
        <v>36768.5</v>
      </c>
      <c r="L12" s="708">
        <f>SUM(L7:L11)</f>
        <v>147074</v>
      </c>
      <c r="M12" s="24"/>
      <c r="N12" s="24"/>
      <c r="O12" s="24"/>
      <c r="P12" s="196"/>
      <c r="Q12" s="196"/>
      <c r="R12" s="24"/>
      <c r="S12" s="24">
        <f>SUM(S7:S11)</f>
        <v>147074</v>
      </c>
      <c r="T12" s="24">
        <f>SUM(T7:T11)</f>
        <v>0</v>
      </c>
      <c r="V12" s="108" t="s">
        <v>173</v>
      </c>
      <c r="W12" s="177">
        <f>'Apportionment Assumptions'!Q12</f>
        <v>9.6000000000000002E-2</v>
      </c>
      <c r="X12" s="178">
        <f>'Apportionment Assumptions'!R12</f>
        <v>0.1111111111111111</v>
      </c>
      <c r="Y12" s="301"/>
      <c r="Z12" s="29">
        <f>SUM(Z7:Z11)</f>
        <v>11177.624</v>
      </c>
      <c r="AA12" s="29">
        <f>SUM(AA7:AA11)</f>
        <v>0</v>
      </c>
      <c r="AB12" s="306"/>
      <c r="AC12" s="29">
        <f>SUM(AC7:AC11)</f>
        <v>32062.131999999998</v>
      </c>
      <c r="AD12" s="29">
        <f>SUM(AD7:AD11)</f>
        <v>0</v>
      </c>
      <c r="AE12" s="306"/>
      <c r="AF12" s="29">
        <f>SUM(AF7:AF11)</f>
        <v>25885.023999999998</v>
      </c>
      <c r="AG12" s="29">
        <f>SUM(AG7:AG11)</f>
        <v>0</v>
      </c>
      <c r="AH12" s="306"/>
      <c r="AI12" s="29">
        <f>SUM(AI7:AI11)</f>
        <v>33974.094000000005</v>
      </c>
      <c r="AJ12" s="29">
        <f>SUM(AJ7:AJ11)</f>
        <v>0</v>
      </c>
      <c r="AK12" s="306"/>
      <c r="AL12" s="29">
        <f>SUM(AL7:AL11)</f>
        <v>6912.4780000000001</v>
      </c>
      <c r="AM12" s="29">
        <f>SUM(AM7:AM11)</f>
        <v>0</v>
      </c>
      <c r="AN12" s="306"/>
      <c r="AO12" s="29">
        <f>SUM(AO7:AO11)</f>
        <v>14119.103999999999</v>
      </c>
      <c r="AP12" s="29">
        <f>SUM(AP7:AP11)</f>
        <v>0</v>
      </c>
      <c r="AQ12" s="306"/>
      <c r="AR12" s="29">
        <f>SUM(AR7:AR11)</f>
        <v>11912.994000000001</v>
      </c>
      <c r="AS12" s="29">
        <f>SUM(AS7:AS11)</f>
        <v>0</v>
      </c>
      <c r="AT12" s="306"/>
      <c r="AU12" s="28"/>
      <c r="AV12" s="28"/>
      <c r="AW12" s="28"/>
      <c r="AX12" s="28"/>
      <c r="AY12" s="28"/>
      <c r="AZ12" s="28"/>
      <c r="BA12" s="29">
        <f>SUM(BA7:BA11)</f>
        <v>1323.6659999999999</v>
      </c>
      <c r="BB12" s="29">
        <f>SUM(BB7:BB11)</f>
        <v>0</v>
      </c>
      <c r="BC12" s="306"/>
      <c r="BD12" s="29">
        <f>SUM(BD7:BD11)</f>
        <v>9706.884</v>
      </c>
      <c r="BE12" s="29">
        <f>SUM(BE7:BE11)</f>
        <v>0</v>
      </c>
      <c r="BF12" s="301"/>
    </row>
    <row r="13" spans="1:58" ht="15.75" thickTop="1" x14ac:dyDescent="0.25">
      <c r="H13" s="67"/>
      <c r="I13" s="67"/>
      <c r="J13" s="67"/>
      <c r="K13" s="67"/>
      <c r="L13" s="705"/>
      <c r="P13" s="197"/>
      <c r="Q13" s="197"/>
      <c r="V13" s="108" t="s">
        <v>175</v>
      </c>
      <c r="W13" s="177">
        <f>'Apportionment Assumptions'!Q13</f>
        <v>8.1000000000000003E-2</v>
      </c>
      <c r="X13" s="178">
        <f>'Apportionment Assumptions'!R13</f>
        <v>0.1111111111111111</v>
      </c>
      <c r="Y13" s="301"/>
      <c r="AB13" s="301"/>
      <c r="AE13" s="301"/>
      <c r="AH13" s="301"/>
      <c r="AK13" s="301"/>
      <c r="AN13" s="301"/>
      <c r="AQ13" s="301"/>
      <c r="AT13" s="301"/>
      <c r="BC13" s="301"/>
      <c r="BF13" s="301"/>
    </row>
    <row r="14" spans="1:58" ht="15.75" thickBot="1" x14ac:dyDescent="0.3">
      <c r="A14" s="760" t="s">
        <v>65</v>
      </c>
      <c r="B14" s="760"/>
      <c r="C14" s="760"/>
      <c r="D14" s="760"/>
      <c r="E14" s="760"/>
      <c r="F14" s="760"/>
      <c r="G14" s="760"/>
      <c r="H14" s="15"/>
      <c r="I14" s="15"/>
      <c r="J14" s="15"/>
      <c r="K14" s="15"/>
      <c r="L14" s="707"/>
      <c r="M14" s="15"/>
      <c r="N14" s="15"/>
      <c r="O14" s="9"/>
      <c r="P14" s="198"/>
      <c r="Q14" s="198"/>
      <c r="R14" s="9"/>
      <c r="S14" s="9"/>
      <c r="T14" s="9"/>
      <c r="V14" s="108" t="s">
        <v>178</v>
      </c>
      <c r="W14" s="177">
        <f>'Apportionment Assumptions'!Q15</f>
        <v>8.9999999999999993E-3</v>
      </c>
      <c r="X14" s="178">
        <f>'Apportionment Assumptions'!R15</f>
        <v>0.1111111111111111</v>
      </c>
      <c r="Y14" s="301"/>
      <c r="AB14" s="301"/>
      <c r="AE14" s="301"/>
      <c r="AH14" s="301"/>
      <c r="AK14" s="301"/>
      <c r="AN14" s="301"/>
      <c r="AQ14" s="301"/>
      <c r="AT14" s="301"/>
      <c r="BC14" s="301"/>
      <c r="BF14" s="301"/>
    </row>
    <row r="15" spans="1:58" x14ac:dyDescent="0.25">
      <c r="A15" s="3" t="s">
        <v>264</v>
      </c>
      <c r="B15" s="3" t="s">
        <v>77</v>
      </c>
      <c r="C15" s="3" t="s">
        <v>45</v>
      </c>
      <c r="D15" s="3" t="s">
        <v>48</v>
      </c>
      <c r="E15" s="3" t="s">
        <v>48</v>
      </c>
      <c r="F15" s="3" t="s">
        <v>276</v>
      </c>
      <c r="G15" t="s">
        <v>78</v>
      </c>
      <c r="H15" s="67">
        <f t="shared" si="0"/>
        <v>625</v>
      </c>
      <c r="I15" s="67">
        <f t="shared" si="0"/>
        <v>625</v>
      </c>
      <c r="J15" s="67">
        <f t="shared" si="0"/>
        <v>625</v>
      </c>
      <c r="K15" s="67">
        <f t="shared" si="0"/>
        <v>625</v>
      </c>
      <c r="L15" s="705">
        <v>2500</v>
      </c>
      <c r="N15" s="206" t="s">
        <v>17</v>
      </c>
      <c r="P15" s="195">
        <f>INDEX('Apportionment Bases'!Y$6:Y$33,MATCH('PC8'!$N15,'Apportionment Bases'!$A$6:$A$33,0))</f>
        <v>1</v>
      </c>
      <c r="Q15" s="195">
        <f>INDEX('Apportionment Bases'!Z$6:Z$33,MATCH('PC8'!$N15,'Apportionment Bases'!$A$6:$A$33,0))</f>
        <v>0</v>
      </c>
      <c r="S15" s="72">
        <f t="shared" ref="S15:S30" si="15">P15*L15</f>
        <v>2500</v>
      </c>
      <c r="T15" s="72">
        <f t="shared" ref="T15:T30" si="16">Q15*L15</f>
        <v>0</v>
      </c>
      <c r="U15" s="266" t="str">
        <f t="shared" ref="U15:U30" si="17">IF(SUM(S15:T15)=L15,"TRUE","FALSE")</f>
        <v>TRUE</v>
      </c>
      <c r="V15" s="108" t="s">
        <v>181</v>
      </c>
      <c r="W15" s="177">
        <f>'Apportionment Assumptions'!Q16</f>
        <v>6.6000000000000003E-2</v>
      </c>
      <c r="X15" s="178">
        <f>'Apportionment Assumptions'!R16</f>
        <v>0.1111111111111111</v>
      </c>
      <c r="Y15" s="301"/>
      <c r="Z15" s="72">
        <f>$W$7*S15</f>
        <v>190</v>
      </c>
      <c r="AA15" s="72">
        <f t="shared" ref="AA15" si="18">$X$7*T15</f>
        <v>0</v>
      </c>
      <c r="AB15" s="301"/>
      <c r="AC15" s="72">
        <f t="shared" ref="AC15" si="19">$W$8*S15</f>
        <v>545</v>
      </c>
      <c r="AD15" s="72">
        <f t="shared" ref="AD15" si="20">$X$8*T15</f>
        <v>0</v>
      </c>
      <c r="AE15" s="301"/>
      <c r="AF15" s="72">
        <f t="shared" ref="AF15" si="21">$W$9*S15</f>
        <v>440</v>
      </c>
      <c r="AG15" s="72">
        <f t="shared" ref="AG15" si="22">$X$9*T15</f>
        <v>0</v>
      </c>
      <c r="AH15" s="301"/>
      <c r="AI15" s="72">
        <f>$W$10*S15</f>
        <v>577.5</v>
      </c>
      <c r="AJ15" s="72">
        <f t="shared" ref="AJ15" si="23">$X$10*T15</f>
        <v>0</v>
      </c>
      <c r="AK15" s="301"/>
      <c r="AL15" s="72">
        <f t="shared" ref="AL15" si="24">$W$11*S15</f>
        <v>117.5</v>
      </c>
      <c r="AM15" s="72">
        <f t="shared" ref="AM15" si="25">$X$11*T15</f>
        <v>0</v>
      </c>
      <c r="AN15" s="301"/>
      <c r="AO15" s="72">
        <f t="shared" ref="AO15" si="26">$W$12*S15</f>
        <v>240</v>
      </c>
      <c r="AP15" s="72">
        <f t="shared" ref="AP15" si="27">$X$12*T15</f>
        <v>0</v>
      </c>
      <c r="AQ15" s="301"/>
      <c r="AR15" s="72">
        <f t="shared" ref="AR15" si="28">$W$13*S15</f>
        <v>202.5</v>
      </c>
      <c r="AS15" s="72">
        <f t="shared" ref="AS15" si="29">$X$13*T15</f>
        <v>0</v>
      </c>
      <c r="AT15" s="301"/>
      <c r="BA15" s="72">
        <f t="shared" ref="BA15:BA30" si="30">$W$14*S15</f>
        <v>22.5</v>
      </c>
      <c r="BB15" s="72">
        <f t="shared" ref="BB15:BB30" si="31">$X$14*T15</f>
        <v>0</v>
      </c>
      <c r="BC15" s="301"/>
      <c r="BD15" s="72">
        <f t="shared" ref="BD15:BD30" si="32">$W$15*S15</f>
        <v>165</v>
      </c>
      <c r="BE15" s="72">
        <f t="shared" ref="BE15:BE30" si="33">$X$15*T15</f>
        <v>0</v>
      </c>
      <c r="BF15" s="301"/>
    </row>
    <row r="16" spans="1:58" ht="15.75" thickBot="1" x14ac:dyDescent="0.3">
      <c r="A16" s="3" t="s">
        <v>264</v>
      </c>
      <c r="B16" s="3" t="s">
        <v>83</v>
      </c>
      <c r="C16" s="3" t="s">
        <v>45</v>
      </c>
      <c r="D16" s="3" t="s">
        <v>48</v>
      </c>
      <c r="E16" s="3" t="s">
        <v>48</v>
      </c>
      <c r="F16" s="3" t="s">
        <v>277</v>
      </c>
      <c r="G16" t="s">
        <v>20</v>
      </c>
      <c r="H16" s="67">
        <f t="shared" si="0"/>
        <v>500</v>
      </c>
      <c r="I16" s="67">
        <f t="shared" si="0"/>
        <v>500</v>
      </c>
      <c r="J16" s="67">
        <f t="shared" si="0"/>
        <v>500</v>
      </c>
      <c r="K16" s="67">
        <f t="shared" si="0"/>
        <v>500</v>
      </c>
      <c r="L16" s="705">
        <v>2000</v>
      </c>
      <c r="N16" s="206" t="s">
        <v>705</v>
      </c>
      <c r="P16" s="195">
        <f>INDEX('Apportionment Bases'!Y$6:Y$33,MATCH('PC8'!$N16,'Apportionment Bases'!$A$6:$A$33,0))</f>
        <v>1</v>
      </c>
      <c r="Q16" s="195">
        <f>INDEX('Apportionment Bases'!Z$6:Z$33,MATCH('PC8'!$N16,'Apportionment Bases'!$A$6:$A$33,0))</f>
        <v>0</v>
      </c>
      <c r="S16" s="72">
        <f t="shared" si="15"/>
        <v>2000</v>
      </c>
      <c r="T16" s="72">
        <f t="shared" si="16"/>
        <v>0</v>
      </c>
      <c r="U16" s="266" t="str">
        <f t="shared" si="17"/>
        <v>TRUE</v>
      </c>
      <c r="V16" s="28" t="s">
        <v>187</v>
      </c>
      <c r="W16" s="109">
        <f>SUM(W7:W15)</f>
        <v>1</v>
      </c>
      <c r="X16" s="94">
        <f>SUM(X7:X15)</f>
        <v>1.0000000000000002</v>
      </c>
      <c r="Y16" s="301"/>
      <c r="Z16" s="72">
        <f t="shared" ref="Z16:Z30" si="34">$W$7*S16</f>
        <v>152</v>
      </c>
      <c r="AA16" s="72">
        <f t="shared" ref="AA16:AA30" si="35">$X$7*T16</f>
        <v>0</v>
      </c>
      <c r="AB16" s="301"/>
      <c r="AC16" s="72">
        <f t="shared" ref="AC16:AC30" si="36">$W$8*S16</f>
        <v>436</v>
      </c>
      <c r="AD16" s="72">
        <f t="shared" ref="AD16:AD30" si="37">$X$8*T16</f>
        <v>0</v>
      </c>
      <c r="AE16" s="301"/>
      <c r="AF16" s="72">
        <f t="shared" ref="AF16:AF30" si="38">$W$9*S16</f>
        <v>352</v>
      </c>
      <c r="AG16" s="72">
        <f t="shared" ref="AG16:AG30" si="39">$X$9*T16</f>
        <v>0</v>
      </c>
      <c r="AH16" s="301"/>
      <c r="AI16" s="72">
        <f t="shared" ref="AI16:AI30" si="40">$W$10*S16</f>
        <v>462</v>
      </c>
      <c r="AJ16" s="72">
        <f t="shared" ref="AJ16:AJ30" si="41">$X$10*T16</f>
        <v>0</v>
      </c>
      <c r="AK16" s="301"/>
      <c r="AL16" s="72">
        <f t="shared" ref="AL16:AL30" si="42">$W$11*S16</f>
        <v>94</v>
      </c>
      <c r="AM16" s="72">
        <f t="shared" ref="AM16:AM30" si="43">$X$11*T16</f>
        <v>0</v>
      </c>
      <c r="AN16" s="301"/>
      <c r="AO16" s="72">
        <f t="shared" ref="AO16:AO30" si="44">$W$12*S16</f>
        <v>192</v>
      </c>
      <c r="AP16" s="72">
        <f t="shared" ref="AP16:AP30" si="45">$X$12*T16</f>
        <v>0</v>
      </c>
      <c r="AQ16" s="301"/>
      <c r="AR16" s="72">
        <f t="shared" ref="AR16:AR30" si="46">$W$13*S16</f>
        <v>162</v>
      </c>
      <c r="AS16" s="72">
        <f t="shared" ref="AS16:AS30" si="47">$X$13*T16</f>
        <v>0</v>
      </c>
      <c r="AT16" s="301"/>
      <c r="BA16" s="72">
        <f t="shared" si="30"/>
        <v>18</v>
      </c>
      <c r="BB16" s="72">
        <f t="shared" si="31"/>
        <v>0</v>
      </c>
      <c r="BC16" s="301"/>
      <c r="BD16" s="72">
        <f t="shared" si="32"/>
        <v>132</v>
      </c>
      <c r="BE16" s="72">
        <f t="shared" si="33"/>
        <v>0</v>
      </c>
      <c r="BF16" s="301"/>
    </row>
    <row r="17" spans="1:58" ht="15.75" thickTop="1" x14ac:dyDescent="0.25">
      <c r="A17" s="3" t="s">
        <v>264</v>
      </c>
      <c r="B17" s="3" t="s">
        <v>265</v>
      </c>
      <c r="C17" s="3" t="s">
        <v>45</v>
      </c>
      <c r="D17" s="3" t="s">
        <v>48</v>
      </c>
      <c r="E17" s="3" t="s">
        <v>48</v>
      </c>
      <c r="F17" s="3" t="s">
        <v>278</v>
      </c>
      <c r="G17" t="s">
        <v>266</v>
      </c>
      <c r="H17" s="67">
        <f t="shared" si="0"/>
        <v>125</v>
      </c>
      <c r="I17" s="67">
        <f t="shared" si="0"/>
        <v>125</v>
      </c>
      <c r="J17" s="67">
        <f t="shared" si="0"/>
        <v>125</v>
      </c>
      <c r="K17" s="67">
        <f t="shared" si="0"/>
        <v>125</v>
      </c>
      <c r="L17" s="705">
        <v>500</v>
      </c>
      <c r="N17" s="206" t="s">
        <v>705</v>
      </c>
      <c r="P17" s="195">
        <f>INDEX('Apportionment Bases'!Y$6:Y$33,MATCH('PC8'!$N17,'Apportionment Bases'!$A$6:$A$33,0))</f>
        <v>1</v>
      </c>
      <c r="Q17" s="195">
        <f>INDEX('Apportionment Bases'!Z$6:Z$33,MATCH('PC8'!$N17,'Apportionment Bases'!$A$6:$A$33,0))</f>
        <v>0</v>
      </c>
      <c r="S17" s="72">
        <f t="shared" si="15"/>
        <v>500</v>
      </c>
      <c r="T17" s="72">
        <f t="shared" si="16"/>
        <v>0</v>
      </c>
      <c r="U17" s="266" t="str">
        <f t="shared" si="17"/>
        <v>TRUE</v>
      </c>
      <c r="Y17" s="301"/>
      <c r="Z17" s="72">
        <f t="shared" si="34"/>
        <v>38</v>
      </c>
      <c r="AA17" s="72">
        <f t="shared" si="35"/>
        <v>0</v>
      </c>
      <c r="AB17" s="301"/>
      <c r="AC17" s="72">
        <f t="shared" si="36"/>
        <v>109</v>
      </c>
      <c r="AD17" s="72">
        <f t="shared" si="37"/>
        <v>0</v>
      </c>
      <c r="AE17" s="301"/>
      <c r="AF17" s="72">
        <f t="shared" si="38"/>
        <v>88</v>
      </c>
      <c r="AG17" s="72">
        <f t="shared" si="39"/>
        <v>0</v>
      </c>
      <c r="AH17" s="301"/>
      <c r="AI17" s="72">
        <f t="shared" si="40"/>
        <v>115.5</v>
      </c>
      <c r="AJ17" s="72">
        <f t="shared" si="41"/>
        <v>0</v>
      </c>
      <c r="AK17" s="301"/>
      <c r="AL17" s="72">
        <f t="shared" si="42"/>
        <v>23.5</v>
      </c>
      <c r="AM17" s="72">
        <f t="shared" si="43"/>
        <v>0</v>
      </c>
      <c r="AN17" s="301"/>
      <c r="AO17" s="72">
        <f t="shared" si="44"/>
        <v>48</v>
      </c>
      <c r="AP17" s="72">
        <f t="shared" si="45"/>
        <v>0</v>
      </c>
      <c r="AQ17" s="301"/>
      <c r="AR17" s="72">
        <f t="shared" si="46"/>
        <v>40.5</v>
      </c>
      <c r="AS17" s="72">
        <f t="shared" si="47"/>
        <v>0</v>
      </c>
      <c r="AT17" s="301"/>
      <c r="BA17" s="72">
        <f t="shared" si="30"/>
        <v>4.5</v>
      </c>
      <c r="BB17" s="72">
        <f t="shared" si="31"/>
        <v>0</v>
      </c>
      <c r="BC17" s="301"/>
      <c r="BD17" s="72">
        <f t="shared" si="32"/>
        <v>33</v>
      </c>
      <c r="BE17" s="72">
        <f t="shared" si="33"/>
        <v>0</v>
      </c>
      <c r="BF17" s="301"/>
    </row>
    <row r="18" spans="1:58" x14ac:dyDescent="0.25">
      <c r="A18" s="3" t="s">
        <v>264</v>
      </c>
      <c r="B18" s="3" t="s">
        <v>84</v>
      </c>
      <c r="C18" s="3" t="s">
        <v>45</v>
      </c>
      <c r="D18" s="3" t="s">
        <v>48</v>
      </c>
      <c r="E18" s="3" t="s">
        <v>48</v>
      </c>
      <c r="F18" s="3" t="s">
        <v>279</v>
      </c>
      <c r="G18" t="s">
        <v>21</v>
      </c>
      <c r="H18" s="67">
        <f t="shared" si="0"/>
        <v>500</v>
      </c>
      <c r="I18" s="67">
        <f t="shared" si="0"/>
        <v>500</v>
      </c>
      <c r="J18" s="67">
        <f t="shared" si="0"/>
        <v>500</v>
      </c>
      <c r="K18" s="67">
        <f t="shared" si="0"/>
        <v>500</v>
      </c>
      <c r="L18" s="705">
        <v>2000</v>
      </c>
      <c r="N18" s="206" t="s">
        <v>705</v>
      </c>
      <c r="P18" s="195">
        <f>INDEX('Apportionment Bases'!Y$6:Y$33,MATCH('PC8'!$N18,'Apportionment Bases'!$A$6:$A$33,0))</f>
        <v>1</v>
      </c>
      <c r="Q18" s="195">
        <f>INDEX('Apportionment Bases'!Z$6:Z$33,MATCH('PC8'!$N18,'Apportionment Bases'!$A$6:$A$33,0))</f>
        <v>0</v>
      </c>
      <c r="S18" s="72">
        <f t="shared" si="15"/>
        <v>2000</v>
      </c>
      <c r="T18" s="72">
        <f t="shared" si="16"/>
        <v>0</v>
      </c>
      <c r="U18" s="266" t="str">
        <f t="shared" si="17"/>
        <v>TRUE</v>
      </c>
      <c r="Y18" s="301"/>
      <c r="Z18" s="72">
        <f t="shared" si="34"/>
        <v>152</v>
      </c>
      <c r="AA18" s="72">
        <f t="shared" si="35"/>
        <v>0</v>
      </c>
      <c r="AB18" s="301"/>
      <c r="AC18" s="72">
        <f t="shared" si="36"/>
        <v>436</v>
      </c>
      <c r="AD18" s="72">
        <f t="shared" si="37"/>
        <v>0</v>
      </c>
      <c r="AE18" s="301"/>
      <c r="AF18" s="72">
        <f t="shared" si="38"/>
        <v>352</v>
      </c>
      <c r="AG18" s="72">
        <f t="shared" si="39"/>
        <v>0</v>
      </c>
      <c r="AH18" s="301"/>
      <c r="AI18" s="72">
        <f t="shared" si="40"/>
        <v>462</v>
      </c>
      <c r="AJ18" s="72">
        <f t="shared" si="41"/>
        <v>0</v>
      </c>
      <c r="AK18" s="301"/>
      <c r="AL18" s="72">
        <f t="shared" si="42"/>
        <v>94</v>
      </c>
      <c r="AM18" s="72">
        <f t="shared" si="43"/>
        <v>0</v>
      </c>
      <c r="AN18" s="301"/>
      <c r="AO18" s="72">
        <f t="shared" si="44"/>
        <v>192</v>
      </c>
      <c r="AP18" s="72">
        <f t="shared" si="45"/>
        <v>0</v>
      </c>
      <c r="AQ18" s="301"/>
      <c r="AR18" s="72">
        <f t="shared" si="46"/>
        <v>162</v>
      </c>
      <c r="AS18" s="72">
        <f t="shared" si="47"/>
        <v>0</v>
      </c>
      <c r="AT18" s="301"/>
      <c r="BA18" s="72">
        <f t="shared" si="30"/>
        <v>18</v>
      </c>
      <c r="BB18" s="72">
        <f t="shared" si="31"/>
        <v>0</v>
      </c>
      <c r="BC18" s="301"/>
      <c r="BD18" s="72">
        <f t="shared" si="32"/>
        <v>132</v>
      </c>
      <c r="BE18" s="72">
        <f t="shared" si="33"/>
        <v>0</v>
      </c>
      <c r="BF18" s="301"/>
    </row>
    <row r="19" spans="1:58" x14ac:dyDescent="0.25">
      <c r="A19" s="3" t="s">
        <v>264</v>
      </c>
      <c r="B19" s="3" t="s">
        <v>267</v>
      </c>
      <c r="C19" s="3" t="s">
        <v>45</v>
      </c>
      <c r="D19" s="3" t="s">
        <v>48</v>
      </c>
      <c r="E19" s="3" t="s">
        <v>48</v>
      </c>
      <c r="F19" s="3" t="s">
        <v>280</v>
      </c>
      <c r="G19" t="s">
        <v>268</v>
      </c>
      <c r="H19" s="67">
        <f t="shared" si="0"/>
        <v>125</v>
      </c>
      <c r="I19" s="67">
        <f t="shared" si="0"/>
        <v>125</v>
      </c>
      <c r="J19" s="67">
        <f t="shared" si="0"/>
        <v>125</v>
      </c>
      <c r="K19" s="67">
        <f t="shared" si="0"/>
        <v>125</v>
      </c>
      <c r="L19" s="705">
        <v>500</v>
      </c>
      <c r="N19" s="206" t="s">
        <v>705</v>
      </c>
      <c r="P19" s="195">
        <f>INDEX('Apportionment Bases'!Y$6:Y$33,MATCH('PC8'!$N19,'Apportionment Bases'!$A$6:$A$33,0))</f>
        <v>1</v>
      </c>
      <c r="Q19" s="195">
        <f>INDEX('Apportionment Bases'!Z$6:Z$33,MATCH('PC8'!$N19,'Apportionment Bases'!$A$6:$A$33,0))</f>
        <v>0</v>
      </c>
      <c r="S19" s="72">
        <f t="shared" si="15"/>
        <v>500</v>
      </c>
      <c r="T19" s="72">
        <f t="shared" si="16"/>
        <v>0</v>
      </c>
      <c r="U19" s="266" t="str">
        <f t="shared" si="17"/>
        <v>TRUE</v>
      </c>
      <c r="Y19" s="301"/>
      <c r="Z19" s="72">
        <f t="shared" si="34"/>
        <v>38</v>
      </c>
      <c r="AA19" s="72">
        <f t="shared" si="35"/>
        <v>0</v>
      </c>
      <c r="AB19" s="301"/>
      <c r="AC19" s="72">
        <f t="shared" si="36"/>
        <v>109</v>
      </c>
      <c r="AD19" s="72">
        <f t="shared" si="37"/>
        <v>0</v>
      </c>
      <c r="AE19" s="301"/>
      <c r="AF19" s="72">
        <f t="shared" si="38"/>
        <v>88</v>
      </c>
      <c r="AG19" s="72">
        <f t="shared" si="39"/>
        <v>0</v>
      </c>
      <c r="AH19" s="301"/>
      <c r="AI19" s="72">
        <f t="shared" si="40"/>
        <v>115.5</v>
      </c>
      <c r="AJ19" s="72">
        <f t="shared" si="41"/>
        <v>0</v>
      </c>
      <c r="AK19" s="301"/>
      <c r="AL19" s="72">
        <f t="shared" si="42"/>
        <v>23.5</v>
      </c>
      <c r="AM19" s="72">
        <f t="shared" si="43"/>
        <v>0</v>
      </c>
      <c r="AN19" s="301"/>
      <c r="AO19" s="72">
        <f t="shared" si="44"/>
        <v>48</v>
      </c>
      <c r="AP19" s="72">
        <f t="shared" si="45"/>
        <v>0</v>
      </c>
      <c r="AQ19" s="301"/>
      <c r="AR19" s="72">
        <f t="shared" si="46"/>
        <v>40.5</v>
      </c>
      <c r="AS19" s="72">
        <f t="shared" si="47"/>
        <v>0</v>
      </c>
      <c r="AT19" s="301"/>
      <c r="BA19" s="72">
        <f t="shared" si="30"/>
        <v>4.5</v>
      </c>
      <c r="BB19" s="72">
        <f t="shared" si="31"/>
        <v>0</v>
      </c>
      <c r="BC19" s="301"/>
      <c r="BD19" s="72">
        <f t="shared" si="32"/>
        <v>33</v>
      </c>
      <c r="BE19" s="72">
        <f t="shared" si="33"/>
        <v>0</v>
      </c>
      <c r="BF19" s="301"/>
    </row>
    <row r="20" spans="1:58" x14ac:dyDescent="0.25">
      <c r="A20" s="3" t="s">
        <v>264</v>
      </c>
      <c r="B20" s="3" t="s">
        <v>88</v>
      </c>
      <c r="C20" s="3" t="s">
        <v>45</v>
      </c>
      <c r="D20" s="3" t="s">
        <v>48</v>
      </c>
      <c r="E20" s="3" t="s">
        <v>48</v>
      </c>
      <c r="F20" s="3" t="s">
        <v>281</v>
      </c>
      <c r="G20" t="s">
        <v>89</v>
      </c>
      <c r="H20" s="67">
        <f t="shared" si="0"/>
        <v>224</v>
      </c>
      <c r="I20" s="67">
        <f t="shared" si="0"/>
        <v>224</v>
      </c>
      <c r="J20" s="67">
        <f t="shared" si="0"/>
        <v>224</v>
      </c>
      <c r="K20" s="67">
        <f t="shared" si="0"/>
        <v>224</v>
      </c>
      <c r="L20" s="705">
        <v>896</v>
      </c>
      <c r="N20" s="206" t="s">
        <v>705</v>
      </c>
      <c r="P20" s="195">
        <f>INDEX('Apportionment Bases'!Y$6:Y$33,MATCH('PC8'!$N20,'Apportionment Bases'!$A$6:$A$33,0))</f>
        <v>1</v>
      </c>
      <c r="Q20" s="195">
        <f>INDEX('Apportionment Bases'!Z$6:Z$33,MATCH('PC8'!$N20,'Apportionment Bases'!$A$6:$A$33,0))</f>
        <v>0</v>
      </c>
      <c r="S20" s="72">
        <f t="shared" si="15"/>
        <v>896</v>
      </c>
      <c r="T20" s="72">
        <f t="shared" si="16"/>
        <v>0</v>
      </c>
      <c r="U20" s="266" t="str">
        <f t="shared" si="17"/>
        <v>TRUE</v>
      </c>
      <c r="Y20" s="301"/>
      <c r="Z20" s="72">
        <f t="shared" si="34"/>
        <v>68.096000000000004</v>
      </c>
      <c r="AA20" s="72">
        <f t="shared" si="35"/>
        <v>0</v>
      </c>
      <c r="AB20" s="301"/>
      <c r="AC20" s="72">
        <f t="shared" si="36"/>
        <v>195.328</v>
      </c>
      <c r="AD20" s="72">
        <f t="shared" si="37"/>
        <v>0</v>
      </c>
      <c r="AE20" s="301"/>
      <c r="AF20" s="72">
        <f t="shared" si="38"/>
        <v>157.696</v>
      </c>
      <c r="AG20" s="72">
        <f t="shared" si="39"/>
        <v>0</v>
      </c>
      <c r="AH20" s="301"/>
      <c r="AI20" s="72">
        <f t="shared" si="40"/>
        <v>206.976</v>
      </c>
      <c r="AJ20" s="72">
        <f t="shared" si="41"/>
        <v>0</v>
      </c>
      <c r="AK20" s="301"/>
      <c r="AL20" s="72">
        <f t="shared" si="42"/>
        <v>42.112000000000002</v>
      </c>
      <c r="AM20" s="72">
        <f t="shared" si="43"/>
        <v>0</v>
      </c>
      <c r="AN20" s="301"/>
      <c r="AO20" s="72">
        <f t="shared" si="44"/>
        <v>86.016000000000005</v>
      </c>
      <c r="AP20" s="72">
        <f t="shared" si="45"/>
        <v>0</v>
      </c>
      <c r="AQ20" s="301"/>
      <c r="AR20" s="72">
        <f t="shared" si="46"/>
        <v>72.576000000000008</v>
      </c>
      <c r="AS20" s="72">
        <f t="shared" si="47"/>
        <v>0</v>
      </c>
      <c r="AT20" s="301"/>
      <c r="BA20" s="72">
        <f t="shared" si="30"/>
        <v>8.0640000000000001</v>
      </c>
      <c r="BB20" s="72">
        <f t="shared" si="31"/>
        <v>0</v>
      </c>
      <c r="BC20" s="301"/>
      <c r="BD20" s="72">
        <f t="shared" si="32"/>
        <v>59.136000000000003</v>
      </c>
      <c r="BE20" s="72">
        <f t="shared" si="33"/>
        <v>0</v>
      </c>
      <c r="BF20" s="301"/>
    </row>
    <row r="21" spans="1:58" x14ac:dyDescent="0.25">
      <c r="A21" s="3" t="s">
        <v>264</v>
      </c>
      <c r="B21" s="3" t="s">
        <v>90</v>
      </c>
      <c r="C21" s="3" t="s">
        <v>45</v>
      </c>
      <c r="D21" s="3" t="s">
        <v>48</v>
      </c>
      <c r="E21" s="3" t="s">
        <v>48</v>
      </c>
      <c r="F21" s="3" t="s">
        <v>282</v>
      </c>
      <c r="G21" t="s">
        <v>91</v>
      </c>
      <c r="H21" s="67">
        <f t="shared" si="0"/>
        <v>374</v>
      </c>
      <c r="I21" s="67">
        <f t="shared" si="0"/>
        <v>374</v>
      </c>
      <c r="J21" s="67">
        <f t="shared" si="0"/>
        <v>374</v>
      </c>
      <c r="K21" s="67">
        <f t="shared" si="0"/>
        <v>374</v>
      </c>
      <c r="L21" s="705">
        <v>1496</v>
      </c>
      <c r="N21" s="206" t="s">
        <v>705</v>
      </c>
      <c r="P21" s="195">
        <f>INDEX('Apportionment Bases'!Y$6:Y$33,MATCH('PC8'!$N21,'Apportionment Bases'!$A$6:$A$33,0))</f>
        <v>1</v>
      </c>
      <c r="Q21" s="195">
        <f>INDEX('Apportionment Bases'!Z$6:Z$33,MATCH('PC8'!$N21,'Apportionment Bases'!$A$6:$A$33,0))</f>
        <v>0</v>
      </c>
      <c r="S21" s="72">
        <f t="shared" si="15"/>
        <v>1496</v>
      </c>
      <c r="T21" s="72">
        <f t="shared" si="16"/>
        <v>0</v>
      </c>
      <c r="U21" s="266" t="str">
        <f t="shared" si="17"/>
        <v>TRUE</v>
      </c>
      <c r="Y21" s="301"/>
      <c r="Z21" s="72">
        <f t="shared" si="34"/>
        <v>113.696</v>
      </c>
      <c r="AA21" s="72">
        <f t="shared" si="35"/>
        <v>0</v>
      </c>
      <c r="AB21" s="301"/>
      <c r="AC21" s="72">
        <f t="shared" si="36"/>
        <v>326.12799999999999</v>
      </c>
      <c r="AD21" s="72">
        <f t="shared" si="37"/>
        <v>0</v>
      </c>
      <c r="AE21" s="301"/>
      <c r="AF21" s="72">
        <f t="shared" si="38"/>
        <v>263.29599999999999</v>
      </c>
      <c r="AG21" s="72">
        <f t="shared" si="39"/>
        <v>0</v>
      </c>
      <c r="AH21" s="301"/>
      <c r="AI21" s="72">
        <f t="shared" si="40"/>
        <v>345.57600000000002</v>
      </c>
      <c r="AJ21" s="72">
        <f t="shared" si="41"/>
        <v>0</v>
      </c>
      <c r="AK21" s="301"/>
      <c r="AL21" s="72">
        <f t="shared" si="42"/>
        <v>70.311999999999998</v>
      </c>
      <c r="AM21" s="72">
        <f t="shared" si="43"/>
        <v>0</v>
      </c>
      <c r="AN21" s="301"/>
      <c r="AO21" s="72">
        <f t="shared" si="44"/>
        <v>143.61600000000001</v>
      </c>
      <c r="AP21" s="72">
        <f t="shared" si="45"/>
        <v>0</v>
      </c>
      <c r="AQ21" s="301"/>
      <c r="AR21" s="72">
        <f t="shared" si="46"/>
        <v>121.176</v>
      </c>
      <c r="AS21" s="72">
        <f t="shared" si="47"/>
        <v>0</v>
      </c>
      <c r="AT21" s="301"/>
      <c r="BA21" s="72">
        <f t="shared" si="30"/>
        <v>13.463999999999999</v>
      </c>
      <c r="BB21" s="72">
        <f t="shared" si="31"/>
        <v>0</v>
      </c>
      <c r="BC21" s="301"/>
      <c r="BD21" s="72">
        <f t="shared" si="32"/>
        <v>98.736000000000004</v>
      </c>
      <c r="BE21" s="72">
        <f t="shared" si="33"/>
        <v>0</v>
      </c>
      <c r="BF21" s="301"/>
    </row>
    <row r="22" spans="1:58" x14ac:dyDescent="0.25">
      <c r="A22" s="3" t="s">
        <v>264</v>
      </c>
      <c r="B22" s="3" t="s">
        <v>97</v>
      </c>
      <c r="C22" s="3" t="s">
        <v>45</v>
      </c>
      <c r="D22" s="3" t="s">
        <v>48</v>
      </c>
      <c r="E22" s="3" t="s">
        <v>48</v>
      </c>
      <c r="F22" s="3" t="s">
        <v>283</v>
      </c>
      <c r="G22" t="s">
        <v>98</v>
      </c>
      <c r="H22" s="67">
        <f t="shared" si="0"/>
        <v>299</v>
      </c>
      <c r="I22" s="67">
        <f t="shared" si="0"/>
        <v>299</v>
      </c>
      <c r="J22" s="67">
        <f t="shared" si="0"/>
        <v>299</v>
      </c>
      <c r="K22" s="67">
        <f t="shared" si="0"/>
        <v>299</v>
      </c>
      <c r="L22" s="705">
        <v>1196</v>
      </c>
      <c r="N22" s="206" t="s">
        <v>705</v>
      </c>
      <c r="P22" s="195">
        <f>INDEX('Apportionment Bases'!Y$6:Y$33,MATCH('PC8'!$N22,'Apportionment Bases'!$A$6:$A$33,0))</f>
        <v>1</v>
      </c>
      <c r="Q22" s="195">
        <f>INDEX('Apportionment Bases'!Z$6:Z$33,MATCH('PC8'!$N22,'Apportionment Bases'!$A$6:$A$33,0))</f>
        <v>0</v>
      </c>
      <c r="S22" s="72">
        <f t="shared" si="15"/>
        <v>1196</v>
      </c>
      <c r="T22" s="72">
        <f t="shared" si="16"/>
        <v>0</v>
      </c>
      <c r="U22" s="266" t="str">
        <f t="shared" si="17"/>
        <v>TRUE</v>
      </c>
      <c r="Y22" s="301"/>
      <c r="Z22" s="72">
        <f t="shared" si="34"/>
        <v>90.896000000000001</v>
      </c>
      <c r="AA22" s="72">
        <f t="shared" si="35"/>
        <v>0</v>
      </c>
      <c r="AB22" s="301"/>
      <c r="AC22" s="72">
        <f t="shared" si="36"/>
        <v>260.72800000000001</v>
      </c>
      <c r="AD22" s="72">
        <f t="shared" si="37"/>
        <v>0</v>
      </c>
      <c r="AE22" s="301"/>
      <c r="AF22" s="72">
        <f t="shared" si="38"/>
        <v>210.49599999999998</v>
      </c>
      <c r="AG22" s="72">
        <f t="shared" si="39"/>
        <v>0</v>
      </c>
      <c r="AH22" s="301"/>
      <c r="AI22" s="72">
        <f t="shared" si="40"/>
        <v>276.27600000000001</v>
      </c>
      <c r="AJ22" s="72">
        <f t="shared" si="41"/>
        <v>0</v>
      </c>
      <c r="AK22" s="301"/>
      <c r="AL22" s="72">
        <f t="shared" si="42"/>
        <v>56.212000000000003</v>
      </c>
      <c r="AM22" s="72">
        <f t="shared" si="43"/>
        <v>0</v>
      </c>
      <c r="AN22" s="301"/>
      <c r="AO22" s="72">
        <f t="shared" si="44"/>
        <v>114.816</v>
      </c>
      <c r="AP22" s="72">
        <f t="shared" si="45"/>
        <v>0</v>
      </c>
      <c r="AQ22" s="301"/>
      <c r="AR22" s="72">
        <f t="shared" si="46"/>
        <v>96.876000000000005</v>
      </c>
      <c r="AS22" s="72">
        <f t="shared" si="47"/>
        <v>0</v>
      </c>
      <c r="AT22" s="301"/>
      <c r="BA22" s="72">
        <f t="shared" si="30"/>
        <v>10.763999999999999</v>
      </c>
      <c r="BB22" s="72">
        <f t="shared" si="31"/>
        <v>0</v>
      </c>
      <c r="BC22" s="301"/>
      <c r="BD22" s="72">
        <f t="shared" si="32"/>
        <v>78.936000000000007</v>
      </c>
      <c r="BE22" s="72">
        <f t="shared" si="33"/>
        <v>0</v>
      </c>
      <c r="BF22" s="301"/>
    </row>
    <row r="23" spans="1:58" x14ac:dyDescent="0.25">
      <c r="A23" s="3" t="s">
        <v>264</v>
      </c>
      <c r="B23" s="3" t="s">
        <v>99</v>
      </c>
      <c r="C23" s="3" t="s">
        <v>45</v>
      </c>
      <c r="D23" s="3" t="s">
        <v>48</v>
      </c>
      <c r="E23" s="3" t="s">
        <v>48</v>
      </c>
      <c r="F23" s="3" t="s">
        <v>284</v>
      </c>
      <c r="G23" t="s">
        <v>100</v>
      </c>
      <c r="H23">
        <f t="shared" si="0"/>
        <v>549.75</v>
      </c>
      <c r="I23">
        <f t="shared" si="0"/>
        <v>549.75</v>
      </c>
      <c r="J23">
        <f t="shared" si="0"/>
        <v>549.75</v>
      </c>
      <c r="K23">
        <f t="shared" si="0"/>
        <v>549.75</v>
      </c>
      <c r="L23" s="705">
        <v>2199</v>
      </c>
      <c r="N23" s="206" t="s">
        <v>263</v>
      </c>
      <c r="P23" s="195">
        <f>INDEX('Apportionment Bases'!Y$6:Y$33,MATCH('PC8'!$N23,'Apportionment Bases'!$A$6:$A$33,0))</f>
        <v>0</v>
      </c>
      <c r="Q23" s="195">
        <f>INDEX('Apportionment Bases'!Z$6:Z$33,MATCH('PC8'!$N23,'Apportionment Bases'!$A$6:$A$33,0))</f>
        <v>1</v>
      </c>
      <c r="S23" s="72">
        <f t="shared" si="15"/>
        <v>0</v>
      </c>
      <c r="T23" s="72">
        <f t="shared" si="16"/>
        <v>2199</v>
      </c>
      <c r="U23" s="266" t="str">
        <f t="shared" si="17"/>
        <v>TRUE</v>
      </c>
      <c r="Y23" s="301"/>
      <c r="Z23" s="72">
        <f t="shared" si="34"/>
        <v>0</v>
      </c>
      <c r="AA23" s="44">
        <f>$X$7*T23</f>
        <v>244.33333333333331</v>
      </c>
      <c r="AB23" s="301"/>
      <c r="AC23" s="72">
        <f t="shared" si="36"/>
        <v>0</v>
      </c>
      <c r="AD23" s="72">
        <f t="shared" si="37"/>
        <v>244.33333333333331</v>
      </c>
      <c r="AE23" s="301"/>
      <c r="AF23" s="72">
        <f t="shared" si="38"/>
        <v>0</v>
      </c>
      <c r="AG23" s="72">
        <f t="shared" si="39"/>
        <v>244.33333333333331</v>
      </c>
      <c r="AH23" s="301"/>
      <c r="AI23" s="72">
        <f t="shared" si="40"/>
        <v>0</v>
      </c>
      <c r="AJ23" s="72">
        <f t="shared" si="41"/>
        <v>244.33333333333331</v>
      </c>
      <c r="AK23" s="301"/>
      <c r="AL23" s="72">
        <f t="shared" si="42"/>
        <v>0</v>
      </c>
      <c r="AM23" s="72">
        <f t="shared" si="43"/>
        <v>244.33333333333331</v>
      </c>
      <c r="AN23" s="301"/>
      <c r="AO23" s="72">
        <f t="shared" si="44"/>
        <v>0</v>
      </c>
      <c r="AP23" s="72">
        <f t="shared" si="45"/>
        <v>244.33333333333331</v>
      </c>
      <c r="AQ23" s="301"/>
      <c r="AR23" s="72">
        <f t="shared" si="46"/>
        <v>0</v>
      </c>
      <c r="AS23" s="72">
        <f t="shared" si="47"/>
        <v>244.33333333333331</v>
      </c>
      <c r="AT23" s="301"/>
      <c r="BA23" s="72">
        <f t="shared" si="30"/>
        <v>0</v>
      </c>
      <c r="BB23" s="72">
        <f t="shared" si="31"/>
        <v>244.33333333333331</v>
      </c>
      <c r="BC23" s="301"/>
      <c r="BD23" s="72">
        <f t="shared" si="32"/>
        <v>0</v>
      </c>
      <c r="BE23" s="72">
        <f t="shared" si="33"/>
        <v>244.33333333333331</v>
      </c>
      <c r="BF23" s="301"/>
    </row>
    <row r="24" spans="1:58" x14ac:dyDescent="0.25">
      <c r="A24" s="3" t="s">
        <v>264</v>
      </c>
      <c r="B24" s="3" t="s">
        <v>101</v>
      </c>
      <c r="C24" s="3" t="s">
        <v>45</v>
      </c>
      <c r="D24" s="3" t="s">
        <v>48</v>
      </c>
      <c r="E24" s="3" t="s">
        <v>48</v>
      </c>
      <c r="F24" s="3" t="s">
        <v>285</v>
      </c>
      <c r="G24" t="s">
        <v>102</v>
      </c>
      <c r="H24" s="67">
        <f t="shared" si="0"/>
        <v>869</v>
      </c>
      <c r="I24" s="67">
        <f t="shared" si="0"/>
        <v>869</v>
      </c>
      <c r="J24" s="67">
        <f t="shared" si="0"/>
        <v>869</v>
      </c>
      <c r="K24" s="67">
        <f t="shared" si="0"/>
        <v>869</v>
      </c>
      <c r="L24" s="705">
        <v>3476</v>
      </c>
      <c r="N24" s="206" t="s">
        <v>705</v>
      </c>
      <c r="P24" s="195">
        <f>INDEX('Apportionment Bases'!Y$6:Y$33,MATCH('PC8'!$N24,'Apportionment Bases'!$A$6:$A$33,0))</f>
        <v>1</v>
      </c>
      <c r="Q24" s="195">
        <f>INDEX('Apportionment Bases'!Z$6:Z$33,MATCH('PC8'!$N24,'Apportionment Bases'!$A$6:$A$33,0))</f>
        <v>0</v>
      </c>
      <c r="S24" s="72">
        <f t="shared" si="15"/>
        <v>3476</v>
      </c>
      <c r="T24" s="72">
        <f t="shared" si="16"/>
        <v>0</v>
      </c>
      <c r="U24" s="266" t="str">
        <f t="shared" si="17"/>
        <v>TRUE</v>
      </c>
      <c r="Y24" s="301"/>
      <c r="Z24" s="72">
        <f t="shared" si="34"/>
        <v>264.17599999999999</v>
      </c>
      <c r="AA24" s="72">
        <f t="shared" si="35"/>
        <v>0</v>
      </c>
      <c r="AB24" s="301"/>
      <c r="AC24" s="72">
        <f t="shared" si="36"/>
        <v>757.76800000000003</v>
      </c>
      <c r="AD24" s="72">
        <f t="shared" si="37"/>
        <v>0</v>
      </c>
      <c r="AE24" s="301"/>
      <c r="AF24" s="72">
        <f t="shared" si="38"/>
        <v>611.77599999999995</v>
      </c>
      <c r="AG24" s="72">
        <f t="shared" si="39"/>
        <v>0</v>
      </c>
      <c r="AH24" s="301"/>
      <c r="AI24" s="72">
        <f t="shared" si="40"/>
        <v>802.95600000000002</v>
      </c>
      <c r="AJ24" s="72">
        <f t="shared" si="41"/>
        <v>0</v>
      </c>
      <c r="AK24" s="301"/>
      <c r="AL24" s="72">
        <f t="shared" si="42"/>
        <v>163.37200000000001</v>
      </c>
      <c r="AM24" s="72">
        <f t="shared" si="43"/>
        <v>0</v>
      </c>
      <c r="AN24" s="301"/>
      <c r="AO24" s="72">
        <f t="shared" si="44"/>
        <v>333.69600000000003</v>
      </c>
      <c r="AP24" s="72">
        <f t="shared" si="45"/>
        <v>0</v>
      </c>
      <c r="AQ24" s="301"/>
      <c r="AR24" s="72">
        <f t="shared" si="46"/>
        <v>281.55599999999998</v>
      </c>
      <c r="AS24" s="72">
        <f t="shared" si="47"/>
        <v>0</v>
      </c>
      <c r="AT24" s="301"/>
      <c r="BA24" s="72">
        <f t="shared" si="30"/>
        <v>31.283999999999999</v>
      </c>
      <c r="BB24" s="72">
        <f t="shared" si="31"/>
        <v>0</v>
      </c>
      <c r="BC24" s="301"/>
      <c r="BD24" s="72">
        <f t="shared" si="32"/>
        <v>229.416</v>
      </c>
      <c r="BE24" s="72">
        <f t="shared" si="33"/>
        <v>0</v>
      </c>
      <c r="BF24" s="301"/>
    </row>
    <row r="25" spans="1:58" x14ac:dyDescent="0.25">
      <c r="A25" s="3" t="s">
        <v>264</v>
      </c>
      <c r="B25" s="3" t="s">
        <v>105</v>
      </c>
      <c r="C25" s="3" t="s">
        <v>45</v>
      </c>
      <c r="D25" s="3" t="s">
        <v>48</v>
      </c>
      <c r="E25" s="3" t="s">
        <v>48</v>
      </c>
      <c r="F25" s="3" t="s">
        <v>286</v>
      </c>
      <c r="G25" t="s">
        <v>269</v>
      </c>
      <c r="H25" s="67">
        <f t="shared" si="0"/>
        <v>0</v>
      </c>
      <c r="I25" s="67">
        <f t="shared" si="0"/>
        <v>0</v>
      </c>
      <c r="J25" s="67">
        <f t="shared" si="0"/>
        <v>0</v>
      </c>
      <c r="K25" s="67">
        <f t="shared" si="0"/>
        <v>0</v>
      </c>
      <c r="L25" s="705">
        <v>0</v>
      </c>
      <c r="N25" s="206" t="s">
        <v>705</v>
      </c>
      <c r="P25" s="195">
        <f>INDEX('Apportionment Bases'!Y$6:Y$33,MATCH('PC8'!$N25,'Apportionment Bases'!$A$6:$A$33,0))</f>
        <v>1</v>
      </c>
      <c r="Q25" s="195">
        <f>INDEX('Apportionment Bases'!Z$6:Z$33,MATCH('PC8'!$N25,'Apportionment Bases'!$A$6:$A$33,0))</f>
        <v>0</v>
      </c>
      <c r="S25" s="72">
        <f t="shared" si="15"/>
        <v>0</v>
      </c>
      <c r="T25" s="72">
        <f t="shared" si="16"/>
        <v>0</v>
      </c>
      <c r="U25" s="266" t="str">
        <f t="shared" si="17"/>
        <v>TRUE</v>
      </c>
      <c r="Y25" s="301"/>
      <c r="Z25" s="72">
        <f t="shared" si="34"/>
        <v>0</v>
      </c>
      <c r="AA25" s="72">
        <f t="shared" si="35"/>
        <v>0</v>
      </c>
      <c r="AB25" s="301"/>
      <c r="AC25" s="72">
        <f t="shared" si="36"/>
        <v>0</v>
      </c>
      <c r="AD25" s="72">
        <f t="shared" si="37"/>
        <v>0</v>
      </c>
      <c r="AE25" s="301"/>
      <c r="AF25" s="72">
        <f t="shared" si="38"/>
        <v>0</v>
      </c>
      <c r="AG25" s="72">
        <f t="shared" si="39"/>
        <v>0</v>
      </c>
      <c r="AH25" s="301"/>
      <c r="AI25" s="72">
        <f t="shared" si="40"/>
        <v>0</v>
      </c>
      <c r="AJ25" s="72">
        <f t="shared" si="41"/>
        <v>0</v>
      </c>
      <c r="AK25" s="301"/>
      <c r="AL25" s="72">
        <f t="shared" si="42"/>
        <v>0</v>
      </c>
      <c r="AM25" s="72">
        <f t="shared" si="43"/>
        <v>0</v>
      </c>
      <c r="AN25" s="301"/>
      <c r="AO25" s="72">
        <f t="shared" si="44"/>
        <v>0</v>
      </c>
      <c r="AP25" s="72">
        <f t="shared" si="45"/>
        <v>0</v>
      </c>
      <c r="AQ25" s="301"/>
      <c r="AR25" s="72">
        <f t="shared" si="46"/>
        <v>0</v>
      </c>
      <c r="AS25" s="72">
        <f t="shared" si="47"/>
        <v>0</v>
      </c>
      <c r="AT25" s="301"/>
      <c r="BA25" s="72">
        <f t="shared" si="30"/>
        <v>0</v>
      </c>
      <c r="BB25" s="72">
        <f t="shared" si="31"/>
        <v>0</v>
      </c>
      <c r="BC25" s="301"/>
      <c r="BD25" s="72">
        <f t="shared" si="32"/>
        <v>0</v>
      </c>
      <c r="BE25" s="72">
        <f t="shared" si="33"/>
        <v>0</v>
      </c>
      <c r="BF25" s="301"/>
    </row>
    <row r="26" spans="1:58" x14ac:dyDescent="0.25">
      <c r="A26" s="3" t="s">
        <v>264</v>
      </c>
      <c r="B26" s="3" t="s">
        <v>111</v>
      </c>
      <c r="C26" s="3" t="s">
        <v>45</v>
      </c>
      <c r="D26" s="3" t="s">
        <v>48</v>
      </c>
      <c r="E26" s="3" t="s">
        <v>48</v>
      </c>
      <c r="F26" s="3" t="s">
        <v>287</v>
      </c>
      <c r="G26" t="s">
        <v>112</v>
      </c>
      <c r="H26" s="67">
        <f t="shared" si="0"/>
        <v>875</v>
      </c>
      <c r="I26" s="67">
        <f t="shared" si="0"/>
        <v>875</v>
      </c>
      <c r="J26" s="67">
        <f t="shared" si="0"/>
        <v>875</v>
      </c>
      <c r="K26" s="67">
        <f t="shared" si="0"/>
        <v>875</v>
      </c>
      <c r="L26" s="705">
        <v>3500</v>
      </c>
      <c r="N26" s="206" t="s">
        <v>705</v>
      </c>
      <c r="P26" s="195">
        <f>INDEX('Apportionment Bases'!Y$6:Y$33,MATCH('PC8'!$N26,'Apportionment Bases'!$A$6:$A$33,0))</f>
        <v>1</v>
      </c>
      <c r="Q26" s="195">
        <f>INDEX('Apportionment Bases'!Z$6:Z$33,MATCH('PC8'!$N26,'Apportionment Bases'!$A$6:$A$33,0))</f>
        <v>0</v>
      </c>
      <c r="S26" s="72">
        <f t="shared" si="15"/>
        <v>3500</v>
      </c>
      <c r="T26" s="72">
        <f t="shared" si="16"/>
        <v>0</v>
      </c>
      <c r="U26" s="266" t="str">
        <f t="shared" si="17"/>
        <v>TRUE</v>
      </c>
      <c r="Y26" s="301"/>
      <c r="Z26" s="72">
        <f t="shared" si="34"/>
        <v>266</v>
      </c>
      <c r="AA26" s="72">
        <f t="shared" si="35"/>
        <v>0</v>
      </c>
      <c r="AB26" s="301"/>
      <c r="AC26" s="72">
        <f t="shared" si="36"/>
        <v>763</v>
      </c>
      <c r="AD26" s="72">
        <f t="shared" si="37"/>
        <v>0</v>
      </c>
      <c r="AE26" s="301"/>
      <c r="AF26" s="72">
        <f t="shared" si="38"/>
        <v>616</v>
      </c>
      <c r="AG26" s="72">
        <f t="shared" si="39"/>
        <v>0</v>
      </c>
      <c r="AH26" s="301"/>
      <c r="AI26" s="72">
        <f t="shared" si="40"/>
        <v>808.5</v>
      </c>
      <c r="AJ26" s="72">
        <f t="shared" si="41"/>
        <v>0</v>
      </c>
      <c r="AK26" s="301"/>
      <c r="AL26" s="72">
        <f t="shared" si="42"/>
        <v>164.5</v>
      </c>
      <c r="AM26" s="72">
        <f t="shared" si="43"/>
        <v>0</v>
      </c>
      <c r="AN26" s="301"/>
      <c r="AO26" s="72">
        <f t="shared" si="44"/>
        <v>336</v>
      </c>
      <c r="AP26" s="72">
        <f t="shared" si="45"/>
        <v>0</v>
      </c>
      <c r="AQ26" s="301"/>
      <c r="AR26" s="72">
        <f t="shared" si="46"/>
        <v>283.5</v>
      </c>
      <c r="AS26" s="72">
        <f t="shared" si="47"/>
        <v>0</v>
      </c>
      <c r="AT26" s="301"/>
      <c r="BA26" s="72">
        <f t="shared" si="30"/>
        <v>31.499999999999996</v>
      </c>
      <c r="BB26" s="72">
        <f t="shared" si="31"/>
        <v>0</v>
      </c>
      <c r="BC26" s="301"/>
      <c r="BD26" s="72">
        <f t="shared" si="32"/>
        <v>231</v>
      </c>
      <c r="BE26" s="72">
        <f t="shared" si="33"/>
        <v>0</v>
      </c>
      <c r="BF26" s="301"/>
    </row>
    <row r="27" spans="1:58" x14ac:dyDescent="0.25">
      <c r="A27" s="3" t="s">
        <v>264</v>
      </c>
      <c r="B27" s="3" t="s">
        <v>113</v>
      </c>
      <c r="C27" s="3" t="s">
        <v>45</v>
      </c>
      <c r="D27" s="3" t="s">
        <v>48</v>
      </c>
      <c r="E27" s="3" t="s">
        <v>48</v>
      </c>
      <c r="F27" s="3" t="s">
        <v>288</v>
      </c>
      <c r="G27" t="s">
        <v>114</v>
      </c>
      <c r="H27" s="67">
        <f t="shared" si="0"/>
        <v>374</v>
      </c>
      <c r="I27" s="67">
        <f t="shared" si="0"/>
        <v>374</v>
      </c>
      <c r="J27" s="67">
        <f t="shared" si="0"/>
        <v>374</v>
      </c>
      <c r="K27" s="67">
        <f t="shared" si="0"/>
        <v>374</v>
      </c>
      <c r="L27" s="705">
        <v>1496</v>
      </c>
      <c r="N27" s="206" t="s">
        <v>705</v>
      </c>
      <c r="P27" s="195">
        <f>INDEX('Apportionment Bases'!Y$6:Y$33,MATCH('PC8'!$N27,'Apportionment Bases'!$A$6:$A$33,0))</f>
        <v>1</v>
      </c>
      <c r="Q27" s="195">
        <f>INDEX('Apportionment Bases'!Z$6:Z$33,MATCH('PC8'!$N27,'Apportionment Bases'!$A$6:$A$33,0))</f>
        <v>0</v>
      </c>
      <c r="S27" s="72">
        <f t="shared" si="15"/>
        <v>1496</v>
      </c>
      <c r="T27" s="72">
        <f t="shared" si="16"/>
        <v>0</v>
      </c>
      <c r="U27" s="266" t="str">
        <f t="shared" si="17"/>
        <v>TRUE</v>
      </c>
      <c r="Y27" s="301"/>
      <c r="Z27" s="72">
        <f t="shared" si="34"/>
        <v>113.696</v>
      </c>
      <c r="AA27" s="72">
        <f t="shared" si="35"/>
        <v>0</v>
      </c>
      <c r="AB27" s="301"/>
      <c r="AC27" s="72">
        <f t="shared" si="36"/>
        <v>326.12799999999999</v>
      </c>
      <c r="AD27" s="72">
        <f t="shared" si="37"/>
        <v>0</v>
      </c>
      <c r="AE27" s="301"/>
      <c r="AF27" s="72">
        <f t="shared" si="38"/>
        <v>263.29599999999999</v>
      </c>
      <c r="AG27" s="72">
        <f t="shared" si="39"/>
        <v>0</v>
      </c>
      <c r="AH27" s="301"/>
      <c r="AI27" s="72">
        <f t="shared" si="40"/>
        <v>345.57600000000002</v>
      </c>
      <c r="AJ27" s="72">
        <f t="shared" si="41"/>
        <v>0</v>
      </c>
      <c r="AK27" s="301"/>
      <c r="AL27" s="72">
        <f t="shared" si="42"/>
        <v>70.311999999999998</v>
      </c>
      <c r="AM27" s="72">
        <f t="shared" si="43"/>
        <v>0</v>
      </c>
      <c r="AN27" s="301"/>
      <c r="AO27" s="72">
        <f t="shared" si="44"/>
        <v>143.61600000000001</v>
      </c>
      <c r="AP27" s="72">
        <f t="shared" si="45"/>
        <v>0</v>
      </c>
      <c r="AQ27" s="301"/>
      <c r="AR27" s="72">
        <f t="shared" si="46"/>
        <v>121.176</v>
      </c>
      <c r="AS27" s="72">
        <f t="shared" si="47"/>
        <v>0</v>
      </c>
      <c r="AT27" s="301"/>
      <c r="BA27" s="72">
        <f t="shared" si="30"/>
        <v>13.463999999999999</v>
      </c>
      <c r="BB27" s="72">
        <f t="shared" si="31"/>
        <v>0</v>
      </c>
      <c r="BC27" s="301"/>
      <c r="BD27" s="72">
        <f t="shared" si="32"/>
        <v>98.736000000000004</v>
      </c>
      <c r="BE27" s="72">
        <f t="shared" si="33"/>
        <v>0</v>
      </c>
      <c r="BF27" s="301"/>
    </row>
    <row r="28" spans="1:58" x14ac:dyDescent="0.25">
      <c r="A28" s="3" t="s">
        <v>264</v>
      </c>
      <c r="B28" s="3" t="s">
        <v>119</v>
      </c>
      <c r="C28" s="3" t="s">
        <v>45</v>
      </c>
      <c r="D28" s="3" t="s">
        <v>48</v>
      </c>
      <c r="E28" s="3" t="s">
        <v>48</v>
      </c>
      <c r="F28" s="3" t="s">
        <v>289</v>
      </c>
      <c r="G28" t="s">
        <v>270</v>
      </c>
      <c r="H28" s="67">
        <f t="shared" si="0"/>
        <v>2500</v>
      </c>
      <c r="I28" s="67">
        <f t="shared" si="0"/>
        <v>2500</v>
      </c>
      <c r="J28" s="67">
        <f t="shared" si="0"/>
        <v>2500</v>
      </c>
      <c r="K28" s="67">
        <f t="shared" si="0"/>
        <v>2500</v>
      </c>
      <c r="L28" s="705">
        <v>10000</v>
      </c>
      <c r="N28" s="206" t="s">
        <v>705</v>
      </c>
      <c r="P28" s="195">
        <f>INDEX('Apportionment Bases'!Y$6:Y$33,MATCH('PC8'!$N28,'Apportionment Bases'!$A$6:$A$33,0))</f>
        <v>1</v>
      </c>
      <c r="Q28" s="195">
        <f>INDEX('Apportionment Bases'!Z$6:Z$33,MATCH('PC8'!$N28,'Apportionment Bases'!$A$6:$A$33,0))</f>
        <v>0</v>
      </c>
      <c r="S28" s="72">
        <f t="shared" si="15"/>
        <v>10000</v>
      </c>
      <c r="T28" s="72">
        <f t="shared" si="16"/>
        <v>0</v>
      </c>
      <c r="U28" s="266" t="str">
        <f t="shared" si="17"/>
        <v>TRUE</v>
      </c>
      <c r="Y28" s="301"/>
      <c r="Z28" s="72">
        <f t="shared" si="34"/>
        <v>760</v>
      </c>
      <c r="AA28" s="72">
        <f t="shared" si="35"/>
        <v>0</v>
      </c>
      <c r="AB28" s="301"/>
      <c r="AC28" s="72">
        <f t="shared" si="36"/>
        <v>2180</v>
      </c>
      <c r="AD28" s="72">
        <f t="shared" si="37"/>
        <v>0</v>
      </c>
      <c r="AE28" s="301"/>
      <c r="AF28" s="72">
        <f t="shared" si="38"/>
        <v>1760</v>
      </c>
      <c r="AG28" s="72">
        <f t="shared" si="39"/>
        <v>0</v>
      </c>
      <c r="AH28" s="301"/>
      <c r="AI28" s="72">
        <f t="shared" si="40"/>
        <v>2310</v>
      </c>
      <c r="AJ28" s="72">
        <f t="shared" si="41"/>
        <v>0</v>
      </c>
      <c r="AK28" s="301"/>
      <c r="AL28" s="72">
        <f t="shared" si="42"/>
        <v>470</v>
      </c>
      <c r="AM28" s="72">
        <f t="shared" si="43"/>
        <v>0</v>
      </c>
      <c r="AN28" s="301"/>
      <c r="AO28" s="72">
        <f t="shared" si="44"/>
        <v>960</v>
      </c>
      <c r="AP28" s="72">
        <f t="shared" si="45"/>
        <v>0</v>
      </c>
      <c r="AQ28" s="301"/>
      <c r="AR28" s="72">
        <f t="shared" si="46"/>
        <v>810</v>
      </c>
      <c r="AS28" s="72">
        <f t="shared" si="47"/>
        <v>0</v>
      </c>
      <c r="AT28" s="301"/>
      <c r="BA28" s="72">
        <f t="shared" si="30"/>
        <v>90</v>
      </c>
      <c r="BB28" s="72">
        <f t="shared" si="31"/>
        <v>0</v>
      </c>
      <c r="BC28" s="301"/>
      <c r="BD28" s="72">
        <f t="shared" si="32"/>
        <v>660</v>
      </c>
      <c r="BE28" s="72">
        <f t="shared" si="33"/>
        <v>0</v>
      </c>
      <c r="BF28" s="301"/>
    </row>
    <row r="29" spans="1:58" x14ac:dyDescent="0.25">
      <c r="A29" s="3" t="s">
        <v>264</v>
      </c>
      <c r="B29" s="3" t="s">
        <v>121</v>
      </c>
      <c r="C29" s="3" t="s">
        <v>45</v>
      </c>
      <c r="D29" s="3" t="s">
        <v>48</v>
      </c>
      <c r="E29" s="3" t="s">
        <v>48</v>
      </c>
      <c r="F29" s="3" t="s">
        <v>290</v>
      </c>
      <c r="G29" t="s">
        <v>271</v>
      </c>
      <c r="H29" s="67">
        <f t="shared" ref="H29:K30" si="48">$L29/4</f>
        <v>200</v>
      </c>
      <c r="I29" s="67">
        <f t="shared" si="48"/>
        <v>200</v>
      </c>
      <c r="J29" s="67">
        <f t="shared" si="48"/>
        <v>200</v>
      </c>
      <c r="K29" s="67">
        <f t="shared" si="48"/>
        <v>200</v>
      </c>
      <c r="L29" s="705">
        <v>800</v>
      </c>
      <c r="N29" s="206" t="s">
        <v>705</v>
      </c>
      <c r="P29" s="195">
        <f>INDEX('Apportionment Bases'!Y$6:Y$33,MATCH('PC8'!$N29,'Apportionment Bases'!$A$6:$A$33,0))</f>
        <v>1</v>
      </c>
      <c r="Q29" s="195">
        <f>INDEX('Apportionment Bases'!Z$6:Z$33,MATCH('PC8'!$N29,'Apportionment Bases'!$A$6:$A$33,0))</f>
        <v>0</v>
      </c>
      <c r="S29" s="72">
        <f t="shared" si="15"/>
        <v>800</v>
      </c>
      <c r="T29" s="72">
        <f t="shared" si="16"/>
        <v>0</v>
      </c>
      <c r="U29" s="266" t="str">
        <f t="shared" si="17"/>
        <v>TRUE</v>
      </c>
      <c r="Y29" s="301"/>
      <c r="Z29" s="72">
        <f t="shared" si="34"/>
        <v>60.8</v>
      </c>
      <c r="AA29" s="72">
        <f t="shared" si="35"/>
        <v>0</v>
      </c>
      <c r="AB29" s="301"/>
      <c r="AC29" s="72">
        <f t="shared" si="36"/>
        <v>174.4</v>
      </c>
      <c r="AD29" s="72">
        <f t="shared" si="37"/>
        <v>0</v>
      </c>
      <c r="AE29" s="301"/>
      <c r="AF29" s="72">
        <f t="shared" si="38"/>
        <v>140.79999999999998</v>
      </c>
      <c r="AG29" s="72">
        <f t="shared" si="39"/>
        <v>0</v>
      </c>
      <c r="AH29" s="301"/>
      <c r="AI29" s="72">
        <f t="shared" si="40"/>
        <v>184.8</v>
      </c>
      <c r="AJ29" s="72">
        <f t="shared" si="41"/>
        <v>0</v>
      </c>
      <c r="AK29" s="301"/>
      <c r="AL29" s="72">
        <f t="shared" si="42"/>
        <v>37.6</v>
      </c>
      <c r="AM29" s="72">
        <f t="shared" si="43"/>
        <v>0</v>
      </c>
      <c r="AN29" s="301"/>
      <c r="AO29" s="72">
        <f t="shared" si="44"/>
        <v>76.8</v>
      </c>
      <c r="AP29" s="72">
        <f t="shared" si="45"/>
        <v>0</v>
      </c>
      <c r="AQ29" s="301"/>
      <c r="AR29" s="72">
        <f t="shared" si="46"/>
        <v>64.8</v>
      </c>
      <c r="AS29" s="72">
        <f t="shared" si="47"/>
        <v>0</v>
      </c>
      <c r="AT29" s="301"/>
      <c r="BA29" s="72">
        <f t="shared" si="30"/>
        <v>7.1999999999999993</v>
      </c>
      <c r="BB29" s="72">
        <f t="shared" si="31"/>
        <v>0</v>
      </c>
      <c r="BC29" s="301"/>
      <c r="BD29" s="72">
        <f t="shared" si="32"/>
        <v>52.800000000000004</v>
      </c>
      <c r="BE29" s="72">
        <f t="shared" si="33"/>
        <v>0</v>
      </c>
      <c r="BF29" s="301"/>
    </row>
    <row r="30" spans="1:58" x14ac:dyDescent="0.25">
      <c r="A30" s="3" t="s">
        <v>264</v>
      </c>
      <c r="B30" s="3" t="s">
        <v>158</v>
      </c>
      <c r="C30" s="3" t="s">
        <v>45</v>
      </c>
      <c r="D30" s="3" t="s">
        <v>264</v>
      </c>
      <c r="E30" s="3" t="s">
        <v>48</v>
      </c>
      <c r="F30" s="3" t="s">
        <v>293</v>
      </c>
      <c r="G30" t="s">
        <v>272</v>
      </c>
      <c r="H30" s="67">
        <f t="shared" si="48"/>
        <v>3141.75</v>
      </c>
      <c r="I30" s="67">
        <f t="shared" si="48"/>
        <v>3141.75</v>
      </c>
      <c r="J30" s="67">
        <f t="shared" si="48"/>
        <v>3141.75</v>
      </c>
      <c r="K30" s="67">
        <f t="shared" si="48"/>
        <v>3141.75</v>
      </c>
      <c r="L30" s="705">
        <v>12567</v>
      </c>
      <c r="N30" s="206" t="s">
        <v>705</v>
      </c>
      <c r="P30" s="195">
        <f>INDEX('Apportionment Bases'!Y$6:Y$33,MATCH('PC8'!$N30,'Apportionment Bases'!$A$6:$A$33,0))</f>
        <v>1</v>
      </c>
      <c r="Q30" s="195">
        <f>INDEX('Apportionment Bases'!Z$6:Z$33,MATCH('PC8'!$N30,'Apportionment Bases'!$A$6:$A$33,0))</f>
        <v>0</v>
      </c>
      <c r="S30" s="72">
        <f t="shared" si="15"/>
        <v>12567</v>
      </c>
      <c r="T30" s="72">
        <f t="shared" si="16"/>
        <v>0</v>
      </c>
      <c r="U30" s="266" t="str">
        <f t="shared" si="17"/>
        <v>TRUE</v>
      </c>
      <c r="Y30" s="301"/>
      <c r="Z30" s="72">
        <f t="shared" si="34"/>
        <v>955.09199999999998</v>
      </c>
      <c r="AA30" s="72">
        <f t="shared" si="35"/>
        <v>0</v>
      </c>
      <c r="AB30" s="301"/>
      <c r="AC30" s="72">
        <f t="shared" si="36"/>
        <v>2739.6059999999998</v>
      </c>
      <c r="AD30" s="72">
        <f t="shared" si="37"/>
        <v>0</v>
      </c>
      <c r="AE30" s="301"/>
      <c r="AF30" s="72">
        <f t="shared" si="38"/>
        <v>2211.7919999999999</v>
      </c>
      <c r="AG30" s="72">
        <f t="shared" si="39"/>
        <v>0</v>
      </c>
      <c r="AH30" s="301"/>
      <c r="AI30" s="72">
        <f t="shared" si="40"/>
        <v>2902.9770000000003</v>
      </c>
      <c r="AJ30" s="72">
        <f t="shared" si="41"/>
        <v>0</v>
      </c>
      <c r="AK30" s="301"/>
      <c r="AL30" s="72">
        <f t="shared" si="42"/>
        <v>590.649</v>
      </c>
      <c r="AM30" s="72">
        <f t="shared" si="43"/>
        <v>0</v>
      </c>
      <c r="AN30" s="301"/>
      <c r="AO30" s="72">
        <f t="shared" si="44"/>
        <v>1206.432</v>
      </c>
      <c r="AP30" s="72">
        <f t="shared" si="45"/>
        <v>0</v>
      </c>
      <c r="AQ30" s="301"/>
      <c r="AR30" s="72">
        <f t="shared" si="46"/>
        <v>1017.927</v>
      </c>
      <c r="AS30" s="72">
        <f t="shared" si="47"/>
        <v>0</v>
      </c>
      <c r="AT30" s="301"/>
      <c r="BA30" s="72">
        <f t="shared" si="30"/>
        <v>113.10299999999999</v>
      </c>
      <c r="BB30" s="72">
        <f t="shared" si="31"/>
        <v>0</v>
      </c>
      <c r="BC30" s="301"/>
      <c r="BD30" s="72">
        <f t="shared" si="32"/>
        <v>829.42200000000003</v>
      </c>
      <c r="BE30" s="72">
        <f t="shared" si="33"/>
        <v>0</v>
      </c>
      <c r="BF30" s="301"/>
    </row>
    <row r="31" spans="1:58" ht="15.75" thickBot="1" x14ac:dyDescent="0.3">
      <c r="A31" s="21"/>
      <c r="B31" s="21"/>
      <c r="C31" s="21"/>
      <c r="D31" s="21"/>
      <c r="E31" s="21"/>
      <c r="F31" s="22"/>
      <c r="G31" s="26" t="s">
        <v>160</v>
      </c>
      <c r="H31" s="24">
        <f>SUM(H15:H30)</f>
        <v>11281.5</v>
      </c>
      <c r="I31" s="24">
        <f t="shared" ref="I31:K31" si="49">SUM(I15:I30)</f>
        <v>11281.5</v>
      </c>
      <c r="J31" s="24">
        <f t="shared" si="49"/>
        <v>11281.5</v>
      </c>
      <c r="K31" s="24">
        <f t="shared" si="49"/>
        <v>11281.5</v>
      </c>
      <c r="L31" s="24">
        <f>SUM(L15:L30)</f>
        <v>45126</v>
      </c>
      <c r="M31" s="24"/>
      <c r="N31" s="24"/>
      <c r="O31" s="24"/>
      <c r="P31" s="24"/>
      <c r="Q31" s="24"/>
      <c r="R31" s="24"/>
      <c r="S31" s="24">
        <f>SUM(S15:S30)</f>
        <v>42927</v>
      </c>
      <c r="T31" s="24">
        <f>SUM(T15:T30)</f>
        <v>2199</v>
      </c>
      <c r="U31" s="24"/>
      <c r="V31" s="24"/>
      <c r="W31" s="24"/>
      <c r="X31" s="24"/>
      <c r="Y31" s="303"/>
      <c r="Z31" s="24">
        <f>SUM(Z15:Z30)</f>
        <v>3262.4520000000002</v>
      </c>
      <c r="AA31" s="24">
        <f>SUM(AA15:AA30)</f>
        <v>244.33333333333331</v>
      </c>
      <c r="AB31" s="303"/>
      <c r="AC31" s="24">
        <f>SUM(AC15:AC30)</f>
        <v>9358.0859999999993</v>
      </c>
      <c r="AD31" s="24">
        <f>SUM(AD15:AD30)</f>
        <v>244.33333333333331</v>
      </c>
      <c r="AE31" s="303"/>
      <c r="AF31" s="24">
        <f>SUM(AF15:AF30)</f>
        <v>7555.152</v>
      </c>
      <c r="AG31" s="24">
        <f>SUM(AG15:AG30)</f>
        <v>244.33333333333331</v>
      </c>
      <c r="AH31" s="303"/>
      <c r="AI31" s="24">
        <f>SUM(AI15:AI30)</f>
        <v>9916.1370000000006</v>
      </c>
      <c r="AJ31" s="24">
        <f>SUM(AJ15:AJ30)</f>
        <v>244.33333333333331</v>
      </c>
      <c r="AK31" s="303"/>
      <c r="AL31" s="24">
        <f>SUM(AL15:AL30)</f>
        <v>2017.569</v>
      </c>
      <c r="AM31" s="24">
        <f>SUM(AM15:AM30)</f>
        <v>244.33333333333331</v>
      </c>
      <c r="AN31" s="303"/>
      <c r="AO31" s="24">
        <f>SUM(AO15:AO30)</f>
        <v>4120.9920000000002</v>
      </c>
      <c r="AP31" s="24">
        <f>SUM(AP15:AP30)</f>
        <v>244.33333333333331</v>
      </c>
      <c r="AQ31" s="303"/>
      <c r="AR31" s="24">
        <f>SUM(AR15:AR30)</f>
        <v>3477.087</v>
      </c>
      <c r="AS31" s="24">
        <f>SUM(AS15:AS30)</f>
        <v>244.33333333333331</v>
      </c>
      <c r="AT31" s="303"/>
      <c r="AU31" s="24"/>
      <c r="AV31" s="24"/>
      <c r="AW31" s="24"/>
      <c r="AX31" s="24"/>
      <c r="AY31" s="24"/>
      <c r="AZ31" s="24"/>
      <c r="BA31" s="24">
        <f>SUM(BA15:BA30)</f>
        <v>386.34299999999996</v>
      </c>
      <c r="BB31" s="24">
        <f>SUM(BB15:BB30)</f>
        <v>244.33333333333331</v>
      </c>
      <c r="BC31" s="303"/>
      <c r="BD31" s="24">
        <f>SUM(BD15:BD30)</f>
        <v>2833.1819999999998</v>
      </c>
      <c r="BE31" s="24">
        <f>SUM(BE15:BE30)</f>
        <v>244.33333333333331</v>
      </c>
      <c r="BF31" s="301"/>
    </row>
    <row r="32" spans="1:58" ht="15.75" thickTop="1" x14ac:dyDescent="0.25">
      <c r="G32" s="266" t="s">
        <v>696</v>
      </c>
      <c r="H32" s="266"/>
      <c r="I32" s="266"/>
      <c r="J32" s="266"/>
      <c r="K32" s="266"/>
      <c r="L32" s="536">
        <v>24</v>
      </c>
      <c r="N32" s="6"/>
      <c r="O32" s="6"/>
      <c r="P32" s="6"/>
      <c r="Q32" s="6"/>
      <c r="R32" s="6"/>
      <c r="S32" s="4"/>
      <c r="T32" s="4"/>
      <c r="U32" s="6"/>
      <c r="V32" s="6"/>
      <c r="W32" s="6"/>
      <c r="X32" s="6"/>
      <c r="Y32" s="304"/>
      <c r="Z32" s="6"/>
      <c r="AA32" s="6"/>
      <c r="AB32" s="304"/>
      <c r="AC32" s="6"/>
      <c r="AD32" s="6"/>
      <c r="AE32" s="304"/>
      <c r="AF32" s="6"/>
      <c r="AG32" s="6"/>
      <c r="AH32" s="304"/>
      <c r="AI32" s="6"/>
      <c r="AJ32" s="6"/>
      <c r="AK32" s="304"/>
      <c r="AL32" s="6"/>
      <c r="AM32" s="6"/>
      <c r="AN32" s="304"/>
      <c r="AO32" s="6"/>
      <c r="AP32" s="6"/>
      <c r="AQ32" s="304"/>
      <c r="AR32" s="6"/>
      <c r="AS32" s="6"/>
      <c r="AT32" s="304"/>
      <c r="AU32" s="6"/>
      <c r="AV32" s="6"/>
      <c r="AW32" s="6"/>
      <c r="AX32" s="6"/>
      <c r="AY32" s="6"/>
      <c r="AZ32" s="6"/>
      <c r="BA32" s="6"/>
      <c r="BB32" s="6"/>
      <c r="BC32" s="304"/>
      <c r="BD32" s="6"/>
      <c r="BE32" s="6"/>
      <c r="BF32" s="301"/>
    </row>
    <row r="33" spans="1:58" ht="15.75" thickBot="1" x14ac:dyDescent="0.3">
      <c r="A33" s="27"/>
      <c r="B33" s="27"/>
      <c r="C33" s="27"/>
      <c r="D33" s="27"/>
      <c r="E33" s="27"/>
      <c r="F33" s="27"/>
      <c r="G33" s="28" t="s">
        <v>161</v>
      </c>
      <c r="H33" s="29">
        <f>H12+H31</f>
        <v>48050</v>
      </c>
      <c r="I33" s="29">
        <f t="shared" ref="I33:K33" si="50">I12+I31</f>
        <v>48050</v>
      </c>
      <c r="J33" s="29">
        <f t="shared" si="50"/>
        <v>48050</v>
      </c>
      <c r="K33" s="29">
        <f t="shared" si="50"/>
        <v>48050</v>
      </c>
      <c r="L33" s="29">
        <f>L12+L31+L32</f>
        <v>192224</v>
      </c>
      <c r="M33" s="29"/>
      <c r="N33" s="29"/>
      <c r="O33" s="29"/>
      <c r="P33" s="29"/>
      <c r="Q33" s="29"/>
      <c r="R33" s="29"/>
      <c r="S33" s="29">
        <f>S12+S31</f>
        <v>190001</v>
      </c>
      <c r="T33" s="29">
        <f>T12+T31</f>
        <v>2199</v>
      </c>
      <c r="U33" s="29"/>
      <c r="V33" s="29"/>
      <c r="W33" s="29"/>
      <c r="X33" s="29"/>
      <c r="Y33" s="303"/>
      <c r="Z33" s="29">
        <f>Z31+Z12</f>
        <v>14440.076000000001</v>
      </c>
      <c r="AA33" s="29">
        <f>AA31+AA12</f>
        <v>244.33333333333331</v>
      </c>
      <c r="AB33" s="303"/>
      <c r="AC33" s="29">
        <f>AC31+AC12</f>
        <v>41420.217999999993</v>
      </c>
      <c r="AD33" s="29">
        <f>AD31+AD12</f>
        <v>244.33333333333331</v>
      </c>
      <c r="AE33" s="303"/>
      <c r="AF33" s="29">
        <f>AF31+AF12</f>
        <v>33440.175999999999</v>
      </c>
      <c r="AG33" s="29">
        <f>AG31+AG12</f>
        <v>244.33333333333331</v>
      </c>
      <c r="AH33" s="303"/>
      <c r="AI33" s="29">
        <f>AI31+AI12</f>
        <v>43890.231000000007</v>
      </c>
      <c r="AJ33" s="29">
        <f>AJ31+AJ12</f>
        <v>244.33333333333331</v>
      </c>
      <c r="AK33" s="303"/>
      <c r="AL33" s="29">
        <f>AL31+AL12</f>
        <v>8930.0470000000005</v>
      </c>
      <c r="AM33" s="29">
        <f>AM31+AM12</f>
        <v>244.33333333333331</v>
      </c>
      <c r="AN33" s="303"/>
      <c r="AO33" s="29">
        <f>AO31+AO12</f>
        <v>18240.095999999998</v>
      </c>
      <c r="AP33" s="29">
        <f>AP31+AP12</f>
        <v>244.33333333333331</v>
      </c>
      <c r="AQ33" s="303"/>
      <c r="AR33" s="29">
        <f>AR31+AR12</f>
        <v>15390.081</v>
      </c>
      <c r="AS33" s="29">
        <f>AS31+AS12</f>
        <v>244.33333333333331</v>
      </c>
      <c r="AT33" s="303"/>
      <c r="AU33" s="29"/>
      <c r="AV33" s="29"/>
      <c r="AW33" s="29"/>
      <c r="AX33" s="29"/>
      <c r="AY33" s="29"/>
      <c r="AZ33" s="29"/>
      <c r="BA33" s="29">
        <f>BA31+BA12</f>
        <v>1710.009</v>
      </c>
      <c r="BB33" s="29">
        <f>BB31+BB12</f>
        <v>244.33333333333331</v>
      </c>
      <c r="BC33" s="303"/>
      <c r="BD33" s="29">
        <f>BD31+BD12</f>
        <v>12540.065999999999</v>
      </c>
      <c r="BE33" s="29">
        <f>BE31+BE12</f>
        <v>244.33333333333331</v>
      </c>
      <c r="BF33" s="301"/>
    </row>
    <row r="34" spans="1:58" ht="15.75" thickTop="1" x14ac:dyDescent="0.25">
      <c r="Y34" s="301"/>
      <c r="Z34" s="298">
        <f>Z33/$S$33</f>
        <v>7.5999999999999998E-2</v>
      </c>
      <c r="AA34" s="298">
        <f>AA33/$T$33</f>
        <v>0.1111111111111111</v>
      </c>
      <c r="AB34" s="301"/>
      <c r="AC34" s="298">
        <f>AC33/$S$33</f>
        <v>0.21799999999999997</v>
      </c>
      <c r="AD34" s="298">
        <f>AD33/$T$33</f>
        <v>0.1111111111111111</v>
      </c>
      <c r="AE34" s="301"/>
      <c r="AF34" s="298">
        <f>AF33/$S$33</f>
        <v>0.17599999999999999</v>
      </c>
      <c r="AG34" s="298">
        <f>AG33/$T$33</f>
        <v>0.1111111111111111</v>
      </c>
      <c r="AH34" s="301"/>
      <c r="AI34" s="298">
        <f>AI33/$S$33</f>
        <v>0.23100000000000004</v>
      </c>
      <c r="AJ34" s="298">
        <f>AJ33/$T$33</f>
        <v>0.1111111111111111</v>
      </c>
      <c r="AK34" s="301"/>
      <c r="AL34" s="298">
        <f>AL33/$S$33</f>
        <v>4.7E-2</v>
      </c>
      <c r="AM34" s="298">
        <f>AM33/$T$33</f>
        <v>0.1111111111111111</v>
      </c>
      <c r="AN34" s="301"/>
      <c r="AO34" s="298">
        <f>AO33/$S$33</f>
        <v>9.5999999999999988E-2</v>
      </c>
      <c r="AP34" s="298">
        <f>AP33/$T$33</f>
        <v>0.1111111111111111</v>
      </c>
      <c r="AQ34" s="301"/>
      <c r="AR34" s="298">
        <f>AR33/$S$33</f>
        <v>8.1000000000000003E-2</v>
      </c>
      <c r="AS34" s="298">
        <f>AS33/$T$33</f>
        <v>0.1111111111111111</v>
      </c>
      <c r="AT34" s="301"/>
      <c r="BA34" s="298">
        <f>BA33/$S$33</f>
        <v>8.9999999999999993E-3</v>
      </c>
      <c r="BB34" s="298">
        <f>BB33/$T$33</f>
        <v>0.1111111111111111</v>
      </c>
      <c r="BC34" s="301"/>
      <c r="BD34" s="298">
        <f>BD33/$S$33</f>
        <v>6.5999999999999989E-2</v>
      </c>
      <c r="BE34" s="298">
        <f>BE33/$T$33</f>
        <v>0.1111111111111111</v>
      </c>
      <c r="BF34" s="301"/>
    </row>
    <row r="35" spans="1:58" x14ac:dyDescent="0.25">
      <c r="Y35" s="301"/>
      <c r="Z35" s="54" t="str">
        <f>IF(Z34=W$7,"TRUE","FALSE")</f>
        <v>TRUE</v>
      </c>
      <c r="AA35" s="54" t="str">
        <f>IF(AA34=X$7,"TRUE","FALSE")</f>
        <v>TRUE</v>
      </c>
      <c r="AB35" s="301"/>
      <c r="AC35" s="54" t="str">
        <f>IF(AC34=W$8,"TRUE","FALSE")</f>
        <v>TRUE</v>
      </c>
      <c r="AD35" s="54" t="str">
        <f>IF(AD34=X$8,"TRUE","FALSE")</f>
        <v>TRUE</v>
      </c>
      <c r="AE35" s="301"/>
      <c r="AF35" s="54" t="str">
        <f>IF(AF34=W$9,"TRUE","FALSE")</f>
        <v>TRUE</v>
      </c>
      <c r="AG35" s="54" t="str">
        <f>IF(AG34=X$9,"TRUE","FALSE")</f>
        <v>TRUE</v>
      </c>
      <c r="AH35" s="301"/>
      <c r="AI35" s="54" t="str">
        <f>IF(AI34=W$10,"TRUE","FALSE")</f>
        <v>TRUE</v>
      </c>
      <c r="AJ35" s="54" t="str">
        <f>IF(AJ34=X$10,"TRUE","FALSE")</f>
        <v>TRUE</v>
      </c>
      <c r="AK35" s="301"/>
      <c r="AL35" s="54" t="str">
        <f>IF(AL34=W$11,"TRUE","FALSE")</f>
        <v>TRUE</v>
      </c>
      <c r="AM35" s="54" t="str">
        <f>IF(AM34=X$11,"TRUE","FALSE")</f>
        <v>TRUE</v>
      </c>
      <c r="AN35" s="301"/>
      <c r="AO35" s="54" t="str">
        <f>IF(AO34=W$12,"TRUE","FALSE")</f>
        <v>TRUE</v>
      </c>
      <c r="AP35" s="54" t="str">
        <f>IF(AP34=X$12,"TRUE","FALSE")</f>
        <v>TRUE</v>
      </c>
      <c r="AQ35" s="301"/>
      <c r="AR35" s="54" t="str">
        <f>IF(AR34=W$13,"TRUE","FALSE")</f>
        <v>TRUE</v>
      </c>
      <c r="AS35" s="54" t="str">
        <f>IF(AS34=X$13,"TRUE","FALSE")</f>
        <v>TRUE</v>
      </c>
      <c r="AT35" s="301"/>
      <c r="BA35" s="54" t="str">
        <f>IF(BA34=W$14,"TRUE","FALSE")</f>
        <v>TRUE</v>
      </c>
      <c r="BB35" s="54" t="str">
        <f>IF(BB34=X$14,"TRUE","FALSE")</f>
        <v>TRUE</v>
      </c>
      <c r="BC35" s="301"/>
      <c r="BD35" s="54" t="str">
        <f>IF(BD34=W$15,"TRUE","FALSE")</f>
        <v>TRUE</v>
      </c>
      <c r="BE35" s="54" t="str">
        <f>IF(BE34=X$15,"TRUE","FALSE")</f>
        <v>TRUE</v>
      </c>
      <c r="BF35" s="301"/>
    </row>
    <row r="36" spans="1:58" ht="6" customHeight="1" x14ac:dyDescent="0.25"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</row>
  </sheetData>
  <mergeCells count="17">
    <mergeCell ref="BD4:BE4"/>
    <mergeCell ref="V4:X4"/>
    <mergeCell ref="A6:G6"/>
    <mergeCell ref="AU4:AY4"/>
    <mergeCell ref="Z4:AA4"/>
    <mergeCell ref="AC4:AD4"/>
    <mergeCell ref="AR4:AS4"/>
    <mergeCell ref="AF4:AG4"/>
    <mergeCell ref="AI4:AJ4"/>
    <mergeCell ref="AL4:AM4"/>
    <mergeCell ref="AO4:AP4"/>
    <mergeCell ref="A14:G14"/>
    <mergeCell ref="BA4:BB4"/>
    <mergeCell ref="P4:Q4"/>
    <mergeCell ref="S4:T4"/>
    <mergeCell ref="A1:N1"/>
    <mergeCell ref="A2:N2"/>
  </mergeCells>
  <conditionalFormatting sqref="N7:N9 N11">
    <cfRule type="containsText" dxfId="1055" priority="31" operator="containsText" text="Insurance">
      <formula>NOT(ISERROR(SEARCH("Insurance",N7)))</formula>
    </cfRule>
    <cfRule type="containsText" dxfId="1054" priority="32" operator="containsText" text="Region 9">
      <formula>NOT(ISERROR(SEARCH("Region 9",N7)))</formula>
    </cfRule>
    <cfRule type="containsText" dxfId="1053" priority="33" operator="containsText" text="ETM">
      <formula>NOT(ISERROR(SEARCH("ETM",N7)))</formula>
    </cfRule>
    <cfRule type="containsText" dxfId="1052" priority="34" operator="containsText" text="Outfall">
      <formula>NOT(ISERROR(SEARCH("Outfall",N7)))</formula>
    </cfRule>
    <cfRule type="containsText" dxfId="1051" priority="35" operator="containsText" text="Petroleum">
      <formula>NOT(ISERROR(SEARCH("Petroleum",N7)))</formula>
    </cfRule>
    <cfRule type="containsText" dxfId="1050" priority="36" operator="containsText" text="Laboratory">
      <formula>NOT(ISERROR(SEARCH("Laboratory",N7)))</formula>
    </cfRule>
    <cfRule type="containsText" dxfId="1049" priority="37" operator="containsText" text="Odor Control">
      <formula>NOT(ISERROR(SEARCH("Odor Control",N7)))</formula>
    </cfRule>
    <cfRule type="containsText" dxfId="1048" priority="38" operator="containsText" text="Ferric">
      <formula>NOT(ISERROR(SEARCH("Ferric",N7)))</formula>
    </cfRule>
    <cfRule type="containsText" dxfId="1047" priority="39" operator="containsText" text="Chlorine">
      <formula>NOT(ISERROR(SEARCH("Chlorine",N7)))</formula>
    </cfRule>
    <cfRule type="containsText" dxfId="1046" priority="40" operator="containsText" text="Potable">
      <formula>NOT(ISERROR(SEARCH("Potable",N7)))</formula>
    </cfRule>
    <cfRule type="containsText" dxfId="1045" priority="41" operator="containsText" text="Natural Gas">
      <formula>NOT(ISERROR(SEARCH("Natural Gas",N7)))</formula>
    </cfRule>
    <cfRule type="containsText" dxfId="1044" priority="42" operator="containsText" text="Electricity">
      <formula>NOT(ISERROR(SEARCH("Electricity",N7)))</formula>
    </cfRule>
    <cfRule type="containsText" dxfId="1043" priority="43" operator="containsText" text="Single Area">
      <formula>NOT(ISERROR(SEARCH("Single Area",N7)))</formula>
    </cfRule>
    <cfRule type="containsText" dxfId="1042" priority="44" operator="containsText" text="Actual Use">
      <formula>NOT(ISERROR(SEARCH("Actual Use",N7)))</formula>
    </cfRule>
    <cfRule type="containsText" dxfId="1041" priority="45" operator="containsText" text="Labor -">
      <formula>NOT(ISERROR(SEARCH("Labor -",N7)))</formula>
    </cfRule>
  </conditionalFormatting>
  <conditionalFormatting sqref="N15:N30">
    <cfRule type="containsText" dxfId="1040" priority="16" operator="containsText" text="Insurance">
      <formula>NOT(ISERROR(SEARCH("Insurance",N15)))</formula>
    </cfRule>
    <cfRule type="containsText" dxfId="1039" priority="17" operator="containsText" text="Region 9">
      <formula>NOT(ISERROR(SEARCH("Region 9",N15)))</formula>
    </cfRule>
    <cfRule type="containsText" dxfId="1038" priority="18" operator="containsText" text="ETM">
      <formula>NOT(ISERROR(SEARCH("ETM",N15)))</formula>
    </cfRule>
    <cfRule type="containsText" dxfId="1037" priority="19" operator="containsText" text="Outfall">
      <formula>NOT(ISERROR(SEARCH("Outfall",N15)))</formula>
    </cfRule>
    <cfRule type="containsText" dxfId="1036" priority="20" operator="containsText" text="Petroleum">
      <formula>NOT(ISERROR(SEARCH("Petroleum",N15)))</formula>
    </cfRule>
    <cfRule type="containsText" dxfId="1035" priority="21" operator="containsText" text="Laboratory">
      <formula>NOT(ISERROR(SEARCH("Laboratory",N15)))</formula>
    </cfRule>
    <cfRule type="containsText" dxfId="1034" priority="22" operator="containsText" text="Odor Control">
      <formula>NOT(ISERROR(SEARCH("Odor Control",N15)))</formula>
    </cfRule>
    <cfRule type="containsText" dxfId="1033" priority="23" operator="containsText" text="Ferric">
      <formula>NOT(ISERROR(SEARCH("Ferric",N15)))</formula>
    </cfRule>
    <cfRule type="containsText" dxfId="1032" priority="24" operator="containsText" text="Chlorine">
      <formula>NOT(ISERROR(SEARCH("Chlorine",N15)))</formula>
    </cfRule>
    <cfRule type="containsText" dxfId="1031" priority="25" operator="containsText" text="Potable">
      <formula>NOT(ISERROR(SEARCH("Potable",N15)))</formula>
    </cfRule>
    <cfRule type="containsText" dxfId="1030" priority="26" operator="containsText" text="Natural Gas">
      <formula>NOT(ISERROR(SEARCH("Natural Gas",N15)))</formula>
    </cfRule>
    <cfRule type="containsText" dxfId="1029" priority="27" operator="containsText" text="Electricity">
      <formula>NOT(ISERROR(SEARCH("Electricity",N15)))</formula>
    </cfRule>
    <cfRule type="containsText" dxfId="1028" priority="28" operator="containsText" text="Single Area">
      <formula>NOT(ISERROR(SEARCH("Single Area",N15)))</formula>
    </cfRule>
    <cfRule type="containsText" dxfId="1027" priority="29" operator="containsText" text="Actual Use">
      <formula>NOT(ISERROR(SEARCH("Actual Use",N15)))</formula>
    </cfRule>
    <cfRule type="containsText" dxfId="1026" priority="30" operator="containsText" text="Labor -">
      <formula>NOT(ISERROR(SEARCH("Labor -",N15)))</formula>
    </cfRule>
  </conditionalFormatting>
  <conditionalFormatting sqref="N10">
    <cfRule type="containsText" dxfId="1025" priority="1" operator="containsText" text="Insurance">
      <formula>NOT(ISERROR(SEARCH("Insurance",N10)))</formula>
    </cfRule>
    <cfRule type="containsText" dxfId="1024" priority="2" operator="containsText" text="Region 9">
      <formula>NOT(ISERROR(SEARCH("Region 9",N10)))</formula>
    </cfRule>
    <cfRule type="containsText" dxfId="1023" priority="3" operator="containsText" text="ETM">
      <formula>NOT(ISERROR(SEARCH("ETM",N10)))</formula>
    </cfRule>
    <cfRule type="containsText" dxfId="1022" priority="4" operator="containsText" text="Outfall">
      <formula>NOT(ISERROR(SEARCH("Outfall",N10)))</formula>
    </cfRule>
    <cfRule type="containsText" dxfId="1021" priority="5" operator="containsText" text="Petroleum">
      <formula>NOT(ISERROR(SEARCH("Petroleum",N10)))</formula>
    </cfRule>
    <cfRule type="containsText" dxfId="1020" priority="6" operator="containsText" text="Laboratory">
      <formula>NOT(ISERROR(SEARCH("Laboratory",N10)))</formula>
    </cfRule>
    <cfRule type="containsText" dxfId="1019" priority="7" operator="containsText" text="Odor Control">
      <formula>NOT(ISERROR(SEARCH("Odor Control",N10)))</formula>
    </cfRule>
    <cfRule type="containsText" dxfId="1018" priority="8" operator="containsText" text="Ferric">
      <formula>NOT(ISERROR(SEARCH("Ferric",N10)))</formula>
    </cfRule>
    <cfRule type="containsText" dxfId="1017" priority="9" operator="containsText" text="Chlorine">
      <formula>NOT(ISERROR(SEARCH("Chlorine",N10)))</formula>
    </cfRule>
    <cfRule type="containsText" dxfId="1016" priority="10" operator="containsText" text="Potable">
      <formula>NOT(ISERROR(SEARCH("Potable",N10)))</formula>
    </cfRule>
    <cfRule type="containsText" dxfId="1015" priority="11" operator="containsText" text="Natural Gas">
      <formula>NOT(ISERROR(SEARCH("Natural Gas",N10)))</formula>
    </cfRule>
    <cfRule type="containsText" dxfId="1014" priority="12" operator="containsText" text="Electricity">
      <formula>NOT(ISERROR(SEARCH("Electricity",N10)))</formula>
    </cfRule>
    <cfRule type="containsText" dxfId="1013" priority="14" operator="containsText" text="Actual Use">
      <formula>NOT(ISERROR(SEARCH("Actual Use",N10)))</formula>
    </cfRule>
    <cfRule type="containsText" dxfId="1012" priority="15" operator="containsText" text="Labor -">
      <formula>NOT(ISERROR(SEARCH("Labor -",N10)))</formula>
    </cfRule>
  </conditionalFormatting>
  <conditionalFormatting sqref="N7:N30">
    <cfRule type="containsText" dxfId="1011" priority="13" operator="containsText" text="Common">
      <formula>NOT(ISERROR(SEARCH("Common",N7)))</formula>
    </cfRule>
  </conditionalFormatting>
  <dataValidations count="1">
    <dataValidation type="list" showInputMessage="1" showErrorMessage="1" sqref="N7:N11" xr:uid="{00000000-0002-0000-0400-000000000000}">
      <formula1>$A$6:$A$33</formula1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400-000001000000}">
          <x14:formula1>
            <xm:f>'Apportionment Bases'!$A$6:$A$33</xm:f>
          </x14:formula1>
          <xm:sqref>N15:N30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BE29"/>
  <sheetViews>
    <sheetView showGridLines="0" zoomScale="90" zoomScaleNormal="90" workbookViewId="0">
      <pane xSplit="14" ySplit="5" topLeftCell="O6" activePane="bottomRight" state="frozen"/>
      <selection activeCell="B37" sqref="B37:L37"/>
      <selection pane="topRight" activeCell="B37" sqref="B37:L37"/>
      <selection pane="bottomLeft" activeCell="B37" sqref="B37:L37"/>
      <selection pane="bottomRight" activeCell="L13" activeCellId="1" sqref="L24 L13"/>
    </sheetView>
  </sheetViews>
  <sheetFormatPr defaultRowHeight="15" outlineLevelCol="1" x14ac:dyDescent="0.25"/>
  <cols>
    <col min="1" max="1" width="3.7109375" style="3" bestFit="1" customWidth="1"/>
    <col min="2" max="2" width="12.7109375" style="3" bestFit="1" customWidth="1"/>
    <col min="3" max="3" width="5.28515625" style="3" hidden="1" customWidth="1" outlineLevel="1"/>
    <col min="4" max="4" width="4.7109375" style="3" hidden="1" customWidth="1" outlineLevel="1"/>
    <col min="5" max="5" width="4" style="3" hidden="1" customWidth="1" outlineLevel="1"/>
    <col min="6" max="6" width="15.7109375" bestFit="1" customWidth="1" outlineLevel="1"/>
    <col min="7" max="7" width="42.140625" customWidth="1"/>
    <col min="8" max="11" width="9" hidden="1" customWidth="1" outlineLevel="1"/>
    <col min="12" max="12" width="10.7109375" style="12" bestFit="1" customWidth="1" collapsed="1"/>
    <col min="13" max="13" width="3.140625" customWidth="1"/>
    <col min="14" max="14" width="26.85546875" bestFit="1" customWidth="1"/>
    <col min="15" max="15" width="3.140625" customWidth="1"/>
    <col min="16" max="16" width="22.28515625" bestFit="1" customWidth="1"/>
    <col min="17" max="17" width="12.42578125" customWidth="1"/>
    <col min="18" max="18" width="3" customWidth="1"/>
    <col min="19" max="19" width="22.5703125" bestFit="1" customWidth="1"/>
    <col min="20" max="20" width="12.140625" customWidth="1"/>
    <col min="21" max="21" width="6.140625" customWidth="1"/>
    <col min="22" max="22" width="9.85546875" customWidth="1"/>
    <col min="23" max="23" width="21" bestFit="1" customWidth="1"/>
    <col min="24" max="24" width="9.85546875" customWidth="1"/>
    <col min="25" max="25" width="1.7109375" customWidth="1"/>
    <col min="26" max="26" width="21" bestFit="1" customWidth="1"/>
    <col min="27" max="27" width="9.5703125" bestFit="1" customWidth="1"/>
    <col min="28" max="28" width="1.7109375" customWidth="1"/>
    <col min="29" max="29" width="21" bestFit="1" customWidth="1"/>
    <col min="30" max="30" width="9.5703125" bestFit="1" customWidth="1"/>
    <col min="31" max="31" width="1.7109375" customWidth="1"/>
    <col min="32" max="32" width="21" bestFit="1" customWidth="1"/>
    <col min="33" max="33" width="9.5703125" bestFit="1" customWidth="1"/>
    <col min="34" max="34" width="1.7109375" customWidth="1"/>
    <col min="35" max="35" width="21" bestFit="1" customWidth="1"/>
    <col min="36" max="36" width="9.5703125" bestFit="1" customWidth="1"/>
    <col min="37" max="37" width="1.7109375" customWidth="1"/>
    <col min="38" max="38" width="8.5703125" hidden="1" customWidth="1"/>
    <col min="39" max="39" width="7.42578125" hidden="1" customWidth="1"/>
    <col min="40" max="40" width="4" hidden="1" customWidth="1"/>
    <col min="41" max="41" width="8.5703125" hidden="1" customWidth="1"/>
    <col min="42" max="42" width="7.42578125" hidden="1" customWidth="1"/>
    <col min="43" max="43" width="3.42578125" hidden="1" customWidth="1"/>
    <col min="44" max="45" width="0" hidden="1" customWidth="1"/>
    <col min="46" max="46" width="3.42578125" hidden="1" customWidth="1"/>
    <col min="47" max="47" width="21" bestFit="1" customWidth="1"/>
    <col min="48" max="48" width="9.5703125" bestFit="1" customWidth="1"/>
    <col min="49" max="49" width="1.7109375" customWidth="1"/>
    <col min="50" max="50" width="21" bestFit="1" customWidth="1"/>
    <col min="51" max="51" width="9.5703125" bestFit="1" customWidth="1"/>
    <col min="52" max="52" width="1.5703125" style="85" customWidth="1"/>
    <col min="53" max="54" width="0" hidden="1" customWidth="1"/>
    <col min="55" max="55" width="3.42578125" hidden="1" customWidth="1"/>
    <col min="56" max="57" width="0" hidden="1" customWidth="1"/>
  </cols>
  <sheetData>
    <row r="1" spans="1:57" ht="23.25" x14ac:dyDescent="0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R1" s="11"/>
      <c r="U1" s="47"/>
      <c r="Y1" s="43"/>
      <c r="AO1" s="76"/>
      <c r="AP1" s="76"/>
      <c r="BA1" s="85"/>
      <c r="BB1" s="85"/>
      <c r="BC1" s="85"/>
      <c r="BD1" s="85"/>
      <c r="BE1" s="85"/>
    </row>
    <row r="2" spans="1:57" ht="23.25" x14ac:dyDescent="0.25">
      <c r="A2" s="752" t="s">
        <v>693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R2" s="11"/>
      <c r="U2" s="47"/>
      <c r="Y2" s="43"/>
      <c r="AO2" s="76"/>
      <c r="AP2" s="76"/>
      <c r="BA2" s="85"/>
      <c r="BB2" s="85"/>
      <c r="BC2" s="85"/>
      <c r="BD2" s="85"/>
      <c r="BE2" s="85"/>
    </row>
    <row r="3" spans="1:57" ht="9.75" customHeight="1" x14ac:dyDescent="0.25">
      <c r="A3" s="158"/>
      <c r="B3" s="158"/>
      <c r="C3" s="158"/>
      <c r="D3" s="158"/>
      <c r="E3" s="158"/>
      <c r="F3" s="158"/>
      <c r="G3" s="158"/>
      <c r="H3" s="1"/>
      <c r="I3" s="1"/>
      <c r="J3" s="1"/>
      <c r="K3" s="1"/>
      <c r="L3" s="1"/>
      <c r="N3" s="2"/>
      <c r="R3" s="11"/>
      <c r="U3" s="47"/>
      <c r="Y3" s="300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5"/>
      <c r="AP3" s="305"/>
      <c r="AQ3" s="301"/>
      <c r="AR3" s="301"/>
      <c r="AS3" s="301"/>
      <c r="AT3" s="301"/>
      <c r="AU3" s="301"/>
      <c r="AV3" s="301"/>
      <c r="AW3" s="301"/>
      <c r="AX3" s="301"/>
      <c r="AY3" s="301"/>
      <c r="AZ3" s="300"/>
      <c r="BA3" s="85"/>
      <c r="BB3" s="85"/>
      <c r="BC3" s="85"/>
      <c r="BD3" s="85"/>
      <c r="BE3" s="85"/>
    </row>
    <row r="4" spans="1:57" ht="24" thickBot="1" x14ac:dyDescent="0.35">
      <c r="H4" s="1"/>
      <c r="I4" s="1"/>
      <c r="J4" s="1"/>
      <c r="K4" s="1"/>
      <c r="L4" s="1"/>
      <c r="N4" s="2"/>
      <c r="P4" s="759" t="s">
        <v>2</v>
      </c>
      <c r="Q4" s="759"/>
      <c r="S4" s="759" t="s">
        <v>184</v>
      </c>
      <c r="T4" s="759"/>
      <c r="V4" s="759" t="s">
        <v>248</v>
      </c>
      <c r="W4" s="759"/>
      <c r="X4" s="759"/>
      <c r="Y4" s="301"/>
      <c r="Z4" s="759" t="s">
        <v>162</v>
      </c>
      <c r="AA4" s="759"/>
      <c r="AB4" s="301"/>
      <c r="AC4" s="759" t="s">
        <v>163</v>
      </c>
      <c r="AD4" s="759"/>
      <c r="AE4" s="301"/>
      <c r="AF4" s="759" t="s">
        <v>164</v>
      </c>
      <c r="AG4" s="759"/>
      <c r="AH4" s="301"/>
      <c r="AI4" s="759" t="s">
        <v>165</v>
      </c>
      <c r="AJ4" s="759"/>
      <c r="AK4" s="301"/>
      <c r="AL4" s="759" t="s">
        <v>171</v>
      </c>
      <c r="AM4" s="759"/>
      <c r="AN4" s="181"/>
      <c r="AO4" s="759" t="s">
        <v>173</v>
      </c>
      <c r="AP4" s="759"/>
      <c r="AQ4" s="181"/>
      <c r="AR4" s="759" t="s">
        <v>175</v>
      </c>
      <c r="AS4" s="759"/>
      <c r="AT4" s="181"/>
      <c r="AU4" s="759" t="s">
        <v>173</v>
      </c>
      <c r="AV4" s="759"/>
      <c r="AW4" s="301"/>
      <c r="AX4" s="759" t="s">
        <v>177</v>
      </c>
      <c r="AY4" s="759"/>
      <c r="AZ4" s="307"/>
      <c r="BA4" s="759" t="s">
        <v>178</v>
      </c>
      <c r="BB4" s="759"/>
      <c r="BC4" s="181"/>
      <c r="BD4" s="762" t="s">
        <v>181</v>
      </c>
      <c r="BE4" s="762"/>
    </row>
    <row r="5" spans="1:57" s="12" customFormat="1" ht="16.5" thickTop="1" thickBot="1" x14ac:dyDescent="0.3">
      <c r="A5" s="32" t="s">
        <v>36</v>
      </c>
      <c r="B5" s="32" t="s">
        <v>37</v>
      </c>
      <c r="C5" s="32" t="s">
        <v>38</v>
      </c>
      <c r="D5" s="32" t="s">
        <v>39</v>
      </c>
      <c r="E5" s="32" t="s">
        <v>40</v>
      </c>
      <c r="F5" s="32" t="s">
        <v>41</v>
      </c>
      <c r="G5" s="32" t="s">
        <v>42</v>
      </c>
      <c r="H5" s="214">
        <v>43101</v>
      </c>
      <c r="I5" s="214">
        <v>43191</v>
      </c>
      <c r="J5" s="214">
        <v>43282</v>
      </c>
      <c r="K5" s="214">
        <v>43374</v>
      </c>
      <c r="L5" s="32" t="s">
        <v>43</v>
      </c>
      <c r="N5" s="322" t="s">
        <v>694</v>
      </c>
      <c r="O5" s="215"/>
      <c r="P5" s="237" t="s">
        <v>692</v>
      </c>
      <c r="Q5" s="238" t="s">
        <v>530</v>
      </c>
      <c r="S5" s="237" t="s">
        <v>692</v>
      </c>
      <c r="T5" s="238" t="s">
        <v>530</v>
      </c>
      <c r="U5" s="48" t="s">
        <v>185</v>
      </c>
      <c r="V5" s="219"/>
      <c r="W5" s="237" t="s">
        <v>692</v>
      </c>
      <c r="X5" s="238" t="s">
        <v>530</v>
      </c>
      <c r="Y5" s="308"/>
      <c r="Z5" s="237" t="s">
        <v>692</v>
      </c>
      <c r="AA5" s="238" t="s">
        <v>530</v>
      </c>
      <c r="AB5" s="338"/>
      <c r="AC5" s="237" t="s">
        <v>692</v>
      </c>
      <c r="AD5" s="238" t="s">
        <v>530</v>
      </c>
      <c r="AE5" s="338"/>
      <c r="AF5" s="237" t="s">
        <v>692</v>
      </c>
      <c r="AG5" s="238" t="s">
        <v>530</v>
      </c>
      <c r="AH5" s="338"/>
      <c r="AI5" s="237" t="s">
        <v>692</v>
      </c>
      <c r="AJ5" s="238" t="s">
        <v>530</v>
      </c>
      <c r="AK5" s="338"/>
      <c r="AL5" s="189" t="s">
        <v>529</v>
      </c>
      <c r="AM5" s="190" t="s">
        <v>530</v>
      </c>
      <c r="AN5" s="175"/>
      <c r="AO5" s="189" t="s">
        <v>529</v>
      </c>
      <c r="AP5" s="190" t="s">
        <v>530</v>
      </c>
      <c r="AQ5" s="215"/>
      <c r="AR5" s="187" t="s">
        <v>529</v>
      </c>
      <c r="AS5" s="188" t="s">
        <v>530</v>
      </c>
      <c r="AT5" s="215"/>
      <c r="AU5" s="237" t="s">
        <v>692</v>
      </c>
      <c r="AV5" s="238" t="s">
        <v>530</v>
      </c>
      <c r="AW5" s="338"/>
      <c r="AX5" s="237" t="s">
        <v>692</v>
      </c>
      <c r="AY5" s="238" t="s">
        <v>530</v>
      </c>
      <c r="AZ5" s="338"/>
      <c r="BA5" s="237" t="s">
        <v>529</v>
      </c>
      <c r="BB5" s="188" t="s">
        <v>530</v>
      </c>
      <c r="BC5" s="215"/>
      <c r="BD5" s="187" t="s">
        <v>529</v>
      </c>
      <c r="BE5" s="188" t="s">
        <v>530</v>
      </c>
    </row>
    <row r="6" spans="1:57" ht="15.75" thickBot="1" x14ac:dyDescent="0.3">
      <c r="A6" s="760" t="s">
        <v>44</v>
      </c>
      <c r="B6" s="760"/>
      <c r="C6" s="760"/>
      <c r="D6" s="760"/>
      <c r="E6" s="760"/>
      <c r="F6" s="760"/>
      <c r="G6" s="760"/>
      <c r="H6" s="9"/>
      <c r="I6" s="9"/>
      <c r="J6" s="9"/>
      <c r="K6" s="9"/>
      <c r="L6" s="23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313"/>
      <c r="Z6" s="9"/>
      <c r="AA6" s="9"/>
      <c r="AB6" s="313"/>
      <c r="AC6" s="9"/>
      <c r="AD6" s="9"/>
      <c r="AE6" s="313"/>
      <c r="AF6" s="9"/>
      <c r="AG6" s="9"/>
      <c r="AH6" s="313"/>
      <c r="AI6" s="9"/>
      <c r="AJ6" s="9"/>
      <c r="AK6" s="313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313"/>
      <c r="AX6" s="9"/>
      <c r="AY6" s="9"/>
      <c r="AZ6" s="339"/>
      <c r="BA6" s="9"/>
      <c r="BB6" s="9"/>
      <c r="BC6" s="9"/>
      <c r="BD6" s="9"/>
      <c r="BE6" s="9"/>
    </row>
    <row r="7" spans="1:57" x14ac:dyDescent="0.25">
      <c r="A7" s="3" t="s">
        <v>245</v>
      </c>
      <c r="B7" s="3" t="s">
        <v>46</v>
      </c>
      <c r="C7" s="3" t="s">
        <v>47</v>
      </c>
      <c r="D7" s="3" t="s">
        <v>48</v>
      </c>
      <c r="E7" s="3" t="s">
        <v>48</v>
      </c>
      <c r="F7" t="s">
        <v>543</v>
      </c>
      <c r="G7" t="s">
        <v>49</v>
      </c>
      <c r="H7" s="67">
        <f t="shared" ref="H7:K12" si="0">$L7/4</f>
        <v>0</v>
      </c>
      <c r="I7" s="67">
        <f t="shared" si="0"/>
        <v>0</v>
      </c>
      <c r="J7" s="67">
        <f>$L7/4</f>
        <v>0</v>
      </c>
      <c r="K7" s="67">
        <f>$L7/4</f>
        <v>0</v>
      </c>
      <c r="L7" s="705">
        <v>0</v>
      </c>
      <c r="N7" s="206" t="s">
        <v>477</v>
      </c>
      <c r="P7" s="178">
        <f>INDEX('Apportionment Bases'!$AB$6:$AB$33,MATCH('PC12'!$N7,'Apportionment Bases'!$A$6:$A$33,0))</f>
        <v>0.5</v>
      </c>
      <c r="Q7" s="178">
        <f>INDEX('Apportionment Bases'!$AC$6:$AC$33,MATCH('PC12'!$N7,'Apportionment Bases'!$A$6:$A$33,0))</f>
        <v>0.5</v>
      </c>
      <c r="S7" s="72">
        <f t="shared" ref="S7:T12" si="1">$L7*P7</f>
        <v>0</v>
      </c>
      <c r="T7" s="72">
        <f t="shared" si="1"/>
        <v>0</v>
      </c>
      <c r="U7" s="266" t="str">
        <f>IF(SUM(S7:T7)=L7,"TRUE","FALSE")</f>
        <v>TRUE</v>
      </c>
      <c r="V7" s="119" t="s">
        <v>162</v>
      </c>
      <c r="W7" s="177">
        <f>'Apportionment Assumptions'!T7</f>
        <v>3.4390272976516867E-2</v>
      </c>
      <c r="X7" s="580">
        <f>'Apportionment Assumptions'!U7</f>
        <v>0.16666666666666666</v>
      </c>
      <c r="Y7" s="301"/>
      <c r="Z7" s="72">
        <f>S7*$W$7</f>
        <v>0</v>
      </c>
      <c r="AA7" s="72">
        <f>T7*$X$7</f>
        <v>0</v>
      </c>
      <c r="AB7" s="300"/>
      <c r="AC7" s="72">
        <f>$S7*$W$8</f>
        <v>0</v>
      </c>
      <c r="AD7" s="72">
        <f>$T7*$X$8</f>
        <v>0</v>
      </c>
      <c r="AE7" s="300"/>
      <c r="AF7" s="72">
        <f>$S7*$W$9</f>
        <v>0</v>
      </c>
      <c r="AG7" s="72">
        <f>$T7*$X$9</f>
        <v>0</v>
      </c>
      <c r="AH7" s="300"/>
      <c r="AI7" s="72">
        <f>$S7*$W$10</f>
        <v>0</v>
      </c>
      <c r="AJ7" s="72">
        <f>$T7*$X$10</f>
        <v>0</v>
      </c>
      <c r="AK7" s="300"/>
      <c r="AL7" s="85"/>
      <c r="AM7" s="85"/>
      <c r="AN7" s="85"/>
      <c r="AO7" s="85"/>
      <c r="AP7" s="85"/>
      <c r="AU7" s="72">
        <f>$S7*$W$11</f>
        <v>0</v>
      </c>
      <c r="AV7" s="72">
        <f>$T7*$X$11</f>
        <v>0</v>
      </c>
      <c r="AW7" s="300"/>
      <c r="AX7" s="72">
        <f t="shared" ref="AX7:AX12" si="2">$S7*$W$12</f>
        <v>0</v>
      </c>
      <c r="AY7" s="182">
        <f t="shared" ref="AY7:AY12" si="3">$T7*$X$12</f>
        <v>0</v>
      </c>
      <c r="AZ7" s="300"/>
    </row>
    <row r="8" spans="1:57" x14ac:dyDescent="0.25">
      <c r="A8" s="3" t="s">
        <v>245</v>
      </c>
      <c r="B8" s="3" t="s">
        <v>46</v>
      </c>
      <c r="C8" s="3" t="s">
        <v>45</v>
      </c>
      <c r="D8" s="3" t="s">
        <v>48</v>
      </c>
      <c r="E8" s="3" t="s">
        <v>48</v>
      </c>
      <c r="F8" t="s">
        <v>544</v>
      </c>
      <c r="G8" t="s">
        <v>49</v>
      </c>
      <c r="H8" s="67">
        <f t="shared" si="0"/>
        <v>12546.5</v>
      </c>
      <c r="I8" s="67">
        <f t="shared" si="0"/>
        <v>12546.5</v>
      </c>
      <c r="J8" s="67">
        <f t="shared" si="0"/>
        <v>12546.5</v>
      </c>
      <c r="K8" s="67">
        <f t="shared" si="0"/>
        <v>12546.5</v>
      </c>
      <c r="L8" s="705">
        <v>50186</v>
      </c>
      <c r="N8" s="206" t="s">
        <v>478</v>
      </c>
      <c r="P8" s="178">
        <f>INDEX('Apportionment Bases'!$AB$6:$AB$33,MATCH('PC12'!$N8,'Apportionment Bases'!$A$6:$A$33,0))</f>
        <v>0.5</v>
      </c>
      <c r="Q8" s="178">
        <f>INDEX('Apportionment Bases'!$AC$6:$AC$33,MATCH('PC12'!$N8,'Apportionment Bases'!$A$6:$A$33,0))</f>
        <v>0.5</v>
      </c>
      <c r="S8" s="72">
        <f t="shared" si="1"/>
        <v>25093</v>
      </c>
      <c r="T8" s="72">
        <f t="shared" si="1"/>
        <v>25093</v>
      </c>
      <c r="U8" s="266" t="str">
        <f t="shared" ref="U8:U12" si="4">IF(SUM(S8:T8)=L8,"TRUE","FALSE")</f>
        <v>TRUE</v>
      </c>
      <c r="V8" s="119" t="s">
        <v>163</v>
      </c>
      <c r="W8" s="177">
        <f>'Apportionment Assumptions'!T8</f>
        <v>0.38699487424007628</v>
      </c>
      <c r="X8" s="580">
        <f>'Apportionment Assumptions'!U8</f>
        <v>0.16666666666666666</v>
      </c>
      <c r="Y8" s="301"/>
      <c r="Z8" s="72">
        <f>S8*$W$7</f>
        <v>862.95511979973776</v>
      </c>
      <c r="AA8" s="72">
        <f t="shared" ref="AA8:AA12" si="5">T8*$X$7</f>
        <v>4182.1666666666661</v>
      </c>
      <c r="AB8" s="300"/>
      <c r="AC8" s="72">
        <f t="shared" ref="AC8:AC11" si="6">$S8*$W$8</f>
        <v>9710.8623793062343</v>
      </c>
      <c r="AD8" s="72">
        <f t="shared" ref="AD8:AD12" si="7">$T8*$X$8</f>
        <v>4182.1666666666661</v>
      </c>
      <c r="AE8" s="300"/>
      <c r="AF8" s="72">
        <f t="shared" ref="AF8:AF12" si="8">$S8*$W$9</f>
        <v>1553.9174514244844</v>
      </c>
      <c r="AG8" s="72">
        <f t="shared" ref="AG8:AG12" si="9">$T8*$X$9</f>
        <v>4182.1666666666661</v>
      </c>
      <c r="AH8" s="300"/>
      <c r="AI8" s="72">
        <f t="shared" ref="AI8:AI12" si="10">$S8*$W$10</f>
        <v>11049.414948146381</v>
      </c>
      <c r="AJ8" s="72">
        <f t="shared" ref="AJ8:AJ12" si="11">$T8*$X$10</f>
        <v>4182.1666666666661</v>
      </c>
      <c r="AK8" s="300"/>
      <c r="AL8" s="85"/>
      <c r="AM8" s="85"/>
      <c r="AN8" s="85"/>
      <c r="AO8" s="85"/>
      <c r="AP8" s="85"/>
      <c r="AU8" s="72">
        <f t="shared" ref="AU8:AU12" si="12">$S8*$W$11</f>
        <v>1009.522887114078</v>
      </c>
      <c r="AV8" s="72">
        <f t="shared" ref="AV8:AV12" si="13">$T8*$X$11</f>
        <v>4182.1666666666661</v>
      </c>
      <c r="AW8" s="300"/>
      <c r="AX8" s="72">
        <f t="shared" si="2"/>
        <v>906.32721420908331</v>
      </c>
      <c r="AY8" s="182">
        <f t="shared" si="3"/>
        <v>4182.1666666666661</v>
      </c>
      <c r="AZ8" s="300"/>
    </row>
    <row r="9" spans="1:57" x14ac:dyDescent="0.25">
      <c r="A9" s="3" t="s">
        <v>245</v>
      </c>
      <c r="B9" s="3" t="s">
        <v>50</v>
      </c>
      <c r="C9" s="3" t="s">
        <v>45</v>
      </c>
      <c r="D9" s="3" t="s">
        <v>48</v>
      </c>
      <c r="E9" s="3" t="s">
        <v>48</v>
      </c>
      <c r="F9" t="s">
        <v>545</v>
      </c>
      <c r="G9" t="s">
        <v>51</v>
      </c>
      <c r="H9" s="67">
        <f t="shared" si="0"/>
        <v>0</v>
      </c>
      <c r="I9" s="67">
        <f t="shared" si="0"/>
        <v>0</v>
      </c>
      <c r="J9" s="67">
        <f t="shared" si="0"/>
        <v>0</v>
      </c>
      <c r="K9" s="67">
        <f t="shared" si="0"/>
        <v>0</v>
      </c>
      <c r="L9" s="705">
        <v>0</v>
      </c>
      <c r="N9" s="206" t="s">
        <v>532</v>
      </c>
      <c r="P9" s="178">
        <f>INDEX('Apportionment Bases'!$AB$6:$AB$33,MATCH('PC12'!$N9,'Apportionment Bases'!$A$6:$A$33,0))</f>
        <v>0.5</v>
      </c>
      <c r="Q9" s="178">
        <f>INDEX('Apportionment Bases'!$AC$6:$AC$33,MATCH('PC12'!$N9,'Apportionment Bases'!$A$6:$A$33,0))</f>
        <v>0.5</v>
      </c>
      <c r="S9" s="72">
        <f t="shared" si="1"/>
        <v>0</v>
      </c>
      <c r="T9" s="72">
        <f t="shared" si="1"/>
        <v>0</v>
      </c>
      <c r="U9" s="266" t="str">
        <f t="shared" si="4"/>
        <v>TRUE</v>
      </c>
      <c r="V9" s="119" t="s">
        <v>164</v>
      </c>
      <c r="W9" s="177">
        <f>'Apportionment Assumptions'!T9</f>
        <v>6.1926332101561565E-2</v>
      </c>
      <c r="X9" s="580">
        <f>'Apportionment Assumptions'!U9</f>
        <v>0.16666666666666666</v>
      </c>
      <c r="Y9" s="301"/>
      <c r="Z9" s="72">
        <f t="shared" ref="Z9:Z12" si="14">S9*$W$7</f>
        <v>0</v>
      </c>
      <c r="AA9" s="72">
        <f t="shared" si="5"/>
        <v>0</v>
      </c>
      <c r="AB9" s="300"/>
      <c r="AC9" s="72">
        <f t="shared" si="6"/>
        <v>0</v>
      </c>
      <c r="AD9" s="72">
        <f t="shared" si="7"/>
        <v>0</v>
      </c>
      <c r="AE9" s="300"/>
      <c r="AF9" s="72">
        <f t="shared" si="8"/>
        <v>0</v>
      </c>
      <c r="AG9" s="72">
        <f t="shared" si="9"/>
        <v>0</v>
      </c>
      <c r="AH9" s="300"/>
      <c r="AI9" s="72">
        <f t="shared" si="10"/>
        <v>0</v>
      </c>
      <c r="AJ9" s="72">
        <f t="shared" si="11"/>
        <v>0</v>
      </c>
      <c r="AK9" s="300"/>
      <c r="AL9" s="85"/>
      <c r="AM9" s="85"/>
      <c r="AN9" s="85"/>
      <c r="AO9" s="85"/>
      <c r="AP9" s="85"/>
      <c r="AU9" s="72">
        <f t="shared" si="12"/>
        <v>0</v>
      </c>
      <c r="AV9" s="72">
        <f t="shared" si="13"/>
        <v>0</v>
      </c>
      <c r="AW9" s="300"/>
      <c r="AX9" s="72">
        <f t="shared" si="2"/>
        <v>0</v>
      </c>
      <c r="AY9" s="182">
        <f t="shared" si="3"/>
        <v>0</v>
      </c>
      <c r="AZ9" s="300"/>
    </row>
    <row r="10" spans="1:57" x14ac:dyDescent="0.25">
      <c r="A10" s="3" t="s">
        <v>245</v>
      </c>
      <c r="B10" s="3" t="s">
        <v>54</v>
      </c>
      <c r="C10" s="3" t="s">
        <v>45</v>
      </c>
      <c r="D10" s="3" t="s">
        <v>48</v>
      </c>
      <c r="E10" s="3" t="s">
        <v>48</v>
      </c>
      <c r="F10" t="s">
        <v>552</v>
      </c>
      <c r="G10" t="s">
        <v>55</v>
      </c>
      <c r="H10" s="67">
        <f t="shared" si="0"/>
        <v>100</v>
      </c>
      <c r="I10" s="67">
        <f t="shared" si="0"/>
        <v>100</v>
      </c>
      <c r="J10" s="67">
        <f t="shared" si="0"/>
        <v>100</v>
      </c>
      <c r="K10" s="67">
        <f t="shared" si="0"/>
        <v>100</v>
      </c>
      <c r="L10" s="705">
        <v>400</v>
      </c>
      <c r="N10" s="206" t="s">
        <v>478</v>
      </c>
      <c r="P10" s="178">
        <f>INDEX('Apportionment Bases'!$AB$6:$AB$33,MATCH('PC12'!$N10,'Apportionment Bases'!$A$6:$A$33,0))</f>
        <v>0.5</v>
      </c>
      <c r="Q10" s="178">
        <f>INDEX('Apportionment Bases'!$AC$6:$AC$33,MATCH('PC12'!$N10,'Apportionment Bases'!$A$6:$A$33,0))</f>
        <v>0.5</v>
      </c>
      <c r="S10" s="72">
        <f t="shared" si="1"/>
        <v>200</v>
      </c>
      <c r="T10" s="72">
        <f t="shared" si="1"/>
        <v>200</v>
      </c>
      <c r="U10" s="266" t="str">
        <f t="shared" si="4"/>
        <v>TRUE</v>
      </c>
      <c r="V10" s="119" t="s">
        <v>165</v>
      </c>
      <c r="W10" s="177">
        <f>'Apportionment Assumptions'!T10</f>
        <v>0.44033853856240313</v>
      </c>
      <c r="X10" s="580">
        <f>'Apportionment Assumptions'!U10</f>
        <v>0.16666666666666666</v>
      </c>
      <c r="Y10" s="301"/>
      <c r="Z10" s="72">
        <f t="shared" si="14"/>
        <v>6.8780545953033734</v>
      </c>
      <c r="AA10" s="72">
        <f t="shared" si="5"/>
        <v>33.333333333333329</v>
      </c>
      <c r="AB10" s="300"/>
      <c r="AC10" s="72">
        <f t="shared" si="6"/>
        <v>77.398974848015257</v>
      </c>
      <c r="AD10" s="72">
        <f t="shared" si="7"/>
        <v>33.333333333333329</v>
      </c>
      <c r="AE10" s="300"/>
      <c r="AF10" s="72">
        <f t="shared" si="8"/>
        <v>12.385266420312313</v>
      </c>
      <c r="AG10" s="72">
        <f t="shared" si="9"/>
        <v>33.333333333333329</v>
      </c>
      <c r="AH10" s="300"/>
      <c r="AI10" s="72">
        <f t="shared" si="10"/>
        <v>88.067707712480626</v>
      </c>
      <c r="AJ10" s="72">
        <f t="shared" si="11"/>
        <v>33.333333333333329</v>
      </c>
      <c r="AK10" s="300"/>
      <c r="AL10" s="85"/>
      <c r="AM10" s="85"/>
      <c r="AN10" s="85"/>
      <c r="AO10" s="85"/>
      <c r="AP10" s="85"/>
      <c r="AU10" s="72">
        <f t="shared" si="12"/>
        <v>8.0462510430325427</v>
      </c>
      <c r="AV10" s="72">
        <f t="shared" si="13"/>
        <v>33.333333333333329</v>
      </c>
      <c r="AW10" s="300"/>
      <c r="AX10" s="72">
        <f t="shared" si="2"/>
        <v>7.223745380855882</v>
      </c>
      <c r="AY10" s="182">
        <f t="shared" si="3"/>
        <v>33.333333333333329</v>
      </c>
      <c r="AZ10" s="300"/>
    </row>
    <row r="11" spans="1:57" x14ac:dyDescent="0.25">
      <c r="A11" s="3" t="s">
        <v>245</v>
      </c>
      <c r="B11" s="3" t="s">
        <v>60</v>
      </c>
      <c r="C11" s="3" t="s">
        <v>47</v>
      </c>
      <c r="D11" s="3" t="s">
        <v>48</v>
      </c>
      <c r="E11" s="3" t="s">
        <v>48</v>
      </c>
      <c r="F11" t="s">
        <v>553</v>
      </c>
      <c r="G11" t="s">
        <v>61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705">
        <v>0</v>
      </c>
      <c r="N11" s="206" t="s">
        <v>479</v>
      </c>
      <c r="P11" s="178">
        <f>INDEX('Apportionment Bases'!$AB$6:$AB$33,MATCH('PC12'!$N11,'Apportionment Bases'!$A$6:$A$33,0))</f>
        <v>0.5</v>
      </c>
      <c r="Q11" s="178">
        <f>INDEX('Apportionment Bases'!$AC$6:$AC$33,MATCH('PC12'!$N11,'Apportionment Bases'!$A$6:$A$33,0))</f>
        <v>0.5</v>
      </c>
      <c r="S11" s="72">
        <f t="shared" si="1"/>
        <v>0</v>
      </c>
      <c r="T11" s="72">
        <f t="shared" si="1"/>
        <v>0</v>
      </c>
      <c r="U11" s="266" t="str">
        <f t="shared" si="4"/>
        <v>TRUE</v>
      </c>
      <c r="V11" s="579" t="s">
        <v>173</v>
      </c>
      <c r="W11" s="177">
        <f>'Apportionment Assumptions'!T12</f>
        <v>4.0231255215162715E-2</v>
      </c>
      <c r="X11" s="580">
        <f>'Apportionment Assumptions'!U12</f>
        <v>0.16666666666666666</v>
      </c>
      <c r="Y11" s="301"/>
      <c r="Z11" s="72">
        <f t="shared" si="14"/>
        <v>0</v>
      </c>
      <c r="AA11" s="72">
        <f t="shared" si="5"/>
        <v>0</v>
      </c>
      <c r="AB11" s="300"/>
      <c r="AC11" s="72">
        <f t="shared" si="6"/>
        <v>0</v>
      </c>
      <c r="AD11" s="72">
        <f t="shared" si="7"/>
        <v>0</v>
      </c>
      <c r="AE11" s="300"/>
      <c r="AF11" s="72">
        <f t="shared" si="8"/>
        <v>0</v>
      </c>
      <c r="AG11" s="72">
        <f t="shared" si="9"/>
        <v>0</v>
      </c>
      <c r="AH11" s="300"/>
      <c r="AI11" s="72">
        <f t="shared" si="10"/>
        <v>0</v>
      </c>
      <c r="AJ11" s="72">
        <f t="shared" si="11"/>
        <v>0</v>
      </c>
      <c r="AK11" s="300"/>
      <c r="AL11" s="85"/>
      <c r="AM11" s="85"/>
      <c r="AN11" s="85"/>
      <c r="AO11" s="85"/>
      <c r="AP11" s="85"/>
      <c r="AU11" s="72">
        <f t="shared" si="12"/>
        <v>0</v>
      </c>
      <c r="AV11" s="72">
        <f t="shared" si="13"/>
        <v>0</v>
      </c>
      <c r="AW11" s="300"/>
      <c r="AX11" s="72">
        <f t="shared" si="2"/>
        <v>0</v>
      </c>
      <c r="AY11" s="182">
        <f t="shared" si="3"/>
        <v>0</v>
      </c>
      <c r="AZ11" s="300"/>
    </row>
    <row r="12" spans="1:57" x14ac:dyDescent="0.25">
      <c r="A12" s="3" t="s">
        <v>245</v>
      </c>
      <c r="B12" s="3" t="s">
        <v>60</v>
      </c>
      <c r="C12" s="3" t="s">
        <v>45</v>
      </c>
      <c r="D12" s="3" t="s">
        <v>48</v>
      </c>
      <c r="E12" s="3" t="s">
        <v>48</v>
      </c>
      <c r="F12" t="s">
        <v>554</v>
      </c>
      <c r="G12" t="s">
        <v>61</v>
      </c>
      <c r="H12" s="67">
        <f t="shared" si="0"/>
        <v>9309.5</v>
      </c>
      <c r="I12" s="67">
        <f t="shared" si="0"/>
        <v>9309.5</v>
      </c>
      <c r="J12" s="67">
        <f t="shared" si="0"/>
        <v>9309.5</v>
      </c>
      <c r="K12" s="67">
        <f t="shared" si="0"/>
        <v>9309.5</v>
      </c>
      <c r="L12" s="705">
        <v>37238</v>
      </c>
      <c r="N12" s="206" t="s">
        <v>480</v>
      </c>
      <c r="P12" s="178">
        <f>INDEX('Apportionment Bases'!$AB$6:$AB$33,MATCH('PC12'!$N12,'Apportionment Bases'!$A$6:$A$33,0))</f>
        <v>0.5</v>
      </c>
      <c r="Q12" s="178">
        <f>INDEX('Apportionment Bases'!$AC$6:$AC$33,MATCH('PC12'!$N12,'Apportionment Bases'!$A$6:$A$33,0))</f>
        <v>0.5</v>
      </c>
      <c r="S12" s="72">
        <f t="shared" si="1"/>
        <v>18619</v>
      </c>
      <c r="T12" s="72">
        <f t="shared" si="1"/>
        <v>18619</v>
      </c>
      <c r="U12" s="266" t="str">
        <f t="shared" si="4"/>
        <v>TRUE</v>
      </c>
      <c r="V12" s="108" t="s">
        <v>177</v>
      </c>
      <c r="W12" s="177">
        <f>'Apportionment Assumptions'!T14</f>
        <v>3.6118726904279412E-2</v>
      </c>
      <c r="X12" s="580">
        <f>'Apportionment Assumptions'!U14</f>
        <v>0.16666666666666666</v>
      </c>
      <c r="Y12" s="301"/>
      <c r="Z12" s="72">
        <f t="shared" si="14"/>
        <v>640.31249254976751</v>
      </c>
      <c r="AA12" s="72">
        <f t="shared" si="5"/>
        <v>3103.1666666666665</v>
      </c>
      <c r="AB12" s="300"/>
      <c r="AC12" s="72">
        <f>$S12*$W$8</f>
        <v>7205.4575634759804</v>
      </c>
      <c r="AD12" s="72">
        <f t="shared" si="7"/>
        <v>3103.1666666666665</v>
      </c>
      <c r="AE12" s="300"/>
      <c r="AF12" s="72">
        <f t="shared" si="8"/>
        <v>1153.0063773989748</v>
      </c>
      <c r="AG12" s="72">
        <f t="shared" si="9"/>
        <v>3103.1666666666665</v>
      </c>
      <c r="AH12" s="300"/>
      <c r="AI12" s="72">
        <f t="shared" si="10"/>
        <v>8198.6632494933838</v>
      </c>
      <c r="AJ12" s="72">
        <f t="shared" si="11"/>
        <v>3103.1666666666665</v>
      </c>
      <c r="AK12" s="300"/>
      <c r="AL12" s="85"/>
      <c r="AM12" s="85"/>
      <c r="AN12" s="85"/>
      <c r="AO12" s="85"/>
      <c r="AP12" s="85"/>
      <c r="AU12" s="72">
        <f t="shared" si="12"/>
        <v>749.06574085111458</v>
      </c>
      <c r="AV12" s="72">
        <f t="shared" si="13"/>
        <v>3103.1666666666665</v>
      </c>
      <c r="AW12" s="300"/>
      <c r="AX12" s="72">
        <f t="shared" si="2"/>
        <v>672.49457623077842</v>
      </c>
      <c r="AY12" s="182">
        <f t="shared" si="3"/>
        <v>3103.1666666666665</v>
      </c>
      <c r="AZ12" s="300"/>
    </row>
    <row r="13" spans="1:57" ht="15.75" thickBot="1" x14ac:dyDescent="0.3">
      <c r="A13" s="27"/>
      <c r="B13" s="27"/>
      <c r="C13" s="27"/>
      <c r="D13" s="27"/>
      <c r="E13" s="27"/>
      <c r="F13" s="28"/>
      <c r="G13" s="28" t="s">
        <v>64</v>
      </c>
      <c r="H13" s="29">
        <f t="shared" ref="H13:K13" si="15">SUM(H7:H12)</f>
        <v>21956</v>
      </c>
      <c r="I13" s="29">
        <f t="shared" si="15"/>
        <v>21956</v>
      </c>
      <c r="J13" s="29">
        <f t="shared" si="15"/>
        <v>21956</v>
      </c>
      <c r="K13" s="29">
        <f t="shared" si="15"/>
        <v>21956</v>
      </c>
      <c r="L13" s="706">
        <f>SUM(L7:L12)</f>
        <v>87824</v>
      </c>
      <c r="M13" s="28"/>
      <c r="N13" s="28"/>
      <c r="O13" s="28"/>
      <c r="P13" s="27"/>
      <c r="Q13" s="27"/>
      <c r="R13" s="28"/>
      <c r="S13" s="29">
        <f>SUM(S7:S12)</f>
        <v>43912</v>
      </c>
      <c r="T13" s="29">
        <f>SUM(T7:T12)</f>
        <v>43912</v>
      </c>
      <c r="U13" s="28"/>
      <c r="V13" s="28"/>
      <c r="W13" s="179">
        <f>SUM(W7:W12)</f>
        <v>0.99999999999999989</v>
      </c>
      <c r="X13" s="179">
        <f>SUM(X7:X12)</f>
        <v>0.99999999999999989</v>
      </c>
      <c r="Y13" s="306"/>
      <c r="Z13" s="29">
        <f>SUM(Z7:Z12)</f>
        <v>1510.1456669448087</v>
      </c>
      <c r="AA13" s="29">
        <f>SUM(AA7:AA12)</f>
        <v>7318.6666666666661</v>
      </c>
      <c r="AB13" s="306"/>
      <c r="AC13" s="29">
        <f>SUM(AC7:AC12)</f>
        <v>16993.718917630227</v>
      </c>
      <c r="AD13" s="29">
        <f>SUM(AD7:AD12)</f>
        <v>7318.6666666666661</v>
      </c>
      <c r="AE13" s="306"/>
      <c r="AF13" s="29">
        <f>SUM(AF7:AF12)</f>
        <v>2719.3090952437715</v>
      </c>
      <c r="AG13" s="29">
        <f>SUM(AG7:AG12)</f>
        <v>7318.6666666666661</v>
      </c>
      <c r="AH13" s="306"/>
      <c r="AI13" s="29">
        <f>SUM(AI7:AI12)</f>
        <v>19336.145905352245</v>
      </c>
      <c r="AJ13" s="29">
        <f>SUM(AJ7:AJ12)</f>
        <v>7318.6666666666661</v>
      </c>
      <c r="AK13" s="306"/>
      <c r="AL13" s="28"/>
      <c r="AM13" s="28"/>
      <c r="AN13" s="28"/>
      <c r="AO13" s="28"/>
      <c r="AP13" s="28"/>
      <c r="AQ13" s="28"/>
      <c r="AR13" s="28"/>
      <c r="AS13" s="28"/>
      <c r="AT13" s="28"/>
      <c r="AU13" s="29">
        <f>SUM(AU7:AU12)</f>
        <v>1766.6348790082252</v>
      </c>
      <c r="AV13" s="29">
        <f>SUM(AV7:AV12)</f>
        <v>7318.6666666666661</v>
      </c>
      <c r="AW13" s="306"/>
      <c r="AX13" s="29">
        <f>SUM(AX7:AX12)</f>
        <v>1586.0455358207178</v>
      </c>
      <c r="AY13" s="29">
        <f>SUM(AY7:AY12)</f>
        <v>7318.6666666666661</v>
      </c>
      <c r="AZ13" s="340"/>
      <c r="BA13" s="28"/>
      <c r="BB13" s="28"/>
      <c r="BC13" s="28"/>
      <c r="BD13" s="28"/>
      <c r="BE13" s="28"/>
    </row>
    <row r="14" spans="1:57" ht="15.75" thickTop="1" x14ac:dyDescent="0.25">
      <c r="A14"/>
      <c r="B14"/>
      <c r="C14"/>
      <c r="D14"/>
      <c r="E14"/>
      <c r="L14" s="62"/>
      <c r="Y14" s="301"/>
      <c r="AB14" s="301"/>
      <c r="AE14" s="301"/>
      <c r="AH14" s="301"/>
      <c r="AK14" s="301"/>
      <c r="AW14" s="301"/>
      <c r="AZ14" s="301"/>
    </row>
    <row r="15" spans="1:57" ht="15.75" thickBot="1" x14ac:dyDescent="0.3">
      <c r="A15" s="760" t="s">
        <v>65</v>
      </c>
      <c r="B15" s="760"/>
      <c r="C15" s="760"/>
      <c r="D15" s="760"/>
      <c r="E15" s="760"/>
      <c r="F15" s="760"/>
      <c r="G15" s="760"/>
      <c r="H15" s="9"/>
      <c r="I15" s="9"/>
      <c r="J15" s="9"/>
      <c r="K15" s="9"/>
      <c r="L15" s="709"/>
      <c r="M15" s="9"/>
      <c r="N15" s="9"/>
      <c r="O15" s="9"/>
      <c r="P15" s="154"/>
      <c r="Q15" s="154"/>
      <c r="R15" s="9"/>
      <c r="S15" s="9"/>
      <c r="T15" s="9"/>
      <c r="U15" s="9"/>
      <c r="V15" s="9"/>
      <c r="W15" s="9"/>
      <c r="X15" s="9"/>
      <c r="Y15" s="313"/>
      <c r="Z15" s="9"/>
      <c r="AA15" s="9"/>
      <c r="AB15" s="313"/>
      <c r="AC15" s="9"/>
      <c r="AD15" s="9"/>
      <c r="AE15" s="313"/>
      <c r="AF15" s="9"/>
      <c r="AG15" s="9"/>
      <c r="AH15" s="313"/>
      <c r="AI15" s="9"/>
      <c r="AJ15" s="9"/>
      <c r="AK15" s="313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313"/>
      <c r="AX15" s="9"/>
      <c r="AY15" s="9"/>
      <c r="AZ15" s="339"/>
      <c r="BA15" s="9"/>
      <c r="BB15" s="9"/>
      <c r="BC15" s="9"/>
      <c r="BD15" s="9"/>
      <c r="BE15" s="9"/>
    </row>
    <row r="16" spans="1:57" x14ac:dyDescent="0.25">
      <c r="A16" s="3" t="s">
        <v>245</v>
      </c>
      <c r="B16" s="3" t="s">
        <v>83</v>
      </c>
      <c r="C16" s="3" t="s">
        <v>45</v>
      </c>
      <c r="D16" s="3" t="s">
        <v>48</v>
      </c>
      <c r="E16" s="3" t="s">
        <v>48</v>
      </c>
      <c r="F16" t="s">
        <v>546</v>
      </c>
      <c r="G16" t="s">
        <v>20</v>
      </c>
      <c r="H16" s="67">
        <f t="shared" ref="H16:K23" si="16">$L16/4</f>
        <v>4000</v>
      </c>
      <c r="I16" s="67">
        <f t="shared" si="16"/>
        <v>4000</v>
      </c>
      <c r="J16" s="67">
        <f t="shared" si="16"/>
        <v>4000</v>
      </c>
      <c r="K16" s="67">
        <f t="shared" si="16"/>
        <v>4000</v>
      </c>
      <c r="L16" s="705">
        <v>16000</v>
      </c>
      <c r="N16" s="538" t="s">
        <v>692</v>
      </c>
      <c r="P16" s="178">
        <f>INDEX('Apportionment Bases'!$AB$6:$AB$33,MATCH('PC12'!$N16,'Apportionment Bases'!$A$6:$A$33,0))</f>
        <v>0.5</v>
      </c>
      <c r="Q16" s="178">
        <f>INDEX('Apportionment Bases'!$AC$6:$AC$33,MATCH('PC12'!$N16,'Apportionment Bases'!$A$6:$A$33,0))</f>
        <v>0.5</v>
      </c>
      <c r="S16" s="72">
        <f>$L16*P16</f>
        <v>8000</v>
      </c>
      <c r="T16" s="72">
        <f t="shared" ref="T16" si="17">$L16*Q16</f>
        <v>8000</v>
      </c>
      <c r="U16" s="266" t="str">
        <f>IF(SUM(S16:T16)=L16,"TRUE","FALSE")</f>
        <v>TRUE</v>
      </c>
      <c r="Y16" s="301"/>
      <c r="Z16" s="72">
        <f>S16*$W$7</f>
        <v>275.12218381213495</v>
      </c>
      <c r="AA16" s="72">
        <f>T16*$X$7</f>
        <v>1333.3333333333333</v>
      </c>
      <c r="AB16" s="300"/>
      <c r="AC16" s="72">
        <f>$S16*$W$8</f>
        <v>3095.9589939206103</v>
      </c>
      <c r="AD16" s="72">
        <f t="shared" ref="AD16:AD23" si="18">$T16*$X$8</f>
        <v>1333.3333333333333</v>
      </c>
      <c r="AE16" s="300"/>
      <c r="AF16" s="72">
        <f t="shared" ref="AF16:AF23" si="19">$S16*$W$9</f>
        <v>495.4106568124925</v>
      </c>
      <c r="AG16" s="72">
        <f t="shared" ref="AG16:AG23" si="20">$T16*$X$9</f>
        <v>1333.3333333333333</v>
      </c>
      <c r="AH16" s="300"/>
      <c r="AI16" s="72">
        <f t="shared" ref="AI16:AI23" si="21">$S16*$W$10</f>
        <v>3522.708308499225</v>
      </c>
      <c r="AJ16" s="72">
        <f t="shared" ref="AJ16:AJ23" si="22">$T16*$X$10</f>
        <v>1333.3333333333333</v>
      </c>
      <c r="AK16" s="300"/>
      <c r="AL16" s="85"/>
      <c r="AM16" s="85"/>
      <c r="AN16" s="85"/>
      <c r="AO16" s="85"/>
      <c r="AP16" s="85"/>
      <c r="AU16" s="72">
        <f t="shared" ref="AU16:AU23" si="23">$S16*$W$11</f>
        <v>321.85004172130169</v>
      </c>
      <c r="AV16" s="72">
        <f t="shared" ref="AV16:AV23" si="24">$T16*$X$11</f>
        <v>1333.3333333333333</v>
      </c>
      <c r="AW16" s="300"/>
      <c r="AX16" s="72">
        <f t="shared" ref="AX16:AX23" si="25">$S16*$W$12</f>
        <v>288.9498152342353</v>
      </c>
      <c r="AY16" s="182">
        <f t="shared" ref="AY16:AY23" si="26">$T16*$X$12</f>
        <v>1333.3333333333333</v>
      </c>
      <c r="AZ16" s="300"/>
    </row>
    <row r="17" spans="1:57" x14ac:dyDescent="0.25">
      <c r="A17" s="3" t="s">
        <v>245</v>
      </c>
      <c r="B17" s="3" t="s">
        <v>84</v>
      </c>
      <c r="C17" s="3" t="s">
        <v>45</v>
      </c>
      <c r="D17" s="3" t="s">
        <v>48</v>
      </c>
      <c r="E17" s="3" t="s">
        <v>48</v>
      </c>
      <c r="F17" t="s">
        <v>547</v>
      </c>
      <c r="G17" t="s">
        <v>21</v>
      </c>
      <c r="H17" s="67">
        <f t="shared" si="16"/>
        <v>1250</v>
      </c>
      <c r="I17" s="67">
        <f t="shared" si="16"/>
        <v>1250</v>
      </c>
      <c r="J17" s="67">
        <f t="shared" si="16"/>
        <v>1250</v>
      </c>
      <c r="K17" s="67">
        <f t="shared" si="16"/>
        <v>1250</v>
      </c>
      <c r="L17" s="705">
        <v>5000</v>
      </c>
      <c r="N17" s="538" t="s">
        <v>692</v>
      </c>
      <c r="P17" s="178">
        <f>INDEX('Apportionment Bases'!$AB$6:$AB$33,MATCH('PC12'!$N17,'Apportionment Bases'!$A$6:$A$33,0))</f>
        <v>0.5</v>
      </c>
      <c r="Q17" s="178">
        <f>INDEX('Apportionment Bases'!$AC$6:$AC$33,MATCH('PC12'!$N17,'Apportionment Bases'!$A$6:$A$33,0))</f>
        <v>0.5</v>
      </c>
      <c r="S17" s="72">
        <f t="shared" ref="S17:S23" si="27">$L17*P17</f>
        <v>2500</v>
      </c>
      <c r="T17" s="72">
        <f t="shared" ref="T17:T23" si="28">$L17*Q17</f>
        <v>2500</v>
      </c>
      <c r="U17" s="266" t="str">
        <f t="shared" ref="U17:U23" si="29">IF(SUM(S17:T17)=L17,"TRUE","FALSE")</f>
        <v>TRUE</v>
      </c>
      <c r="Y17" s="301"/>
      <c r="Z17" s="72">
        <f t="shared" ref="Z17:Z23" si="30">S17*$W$7</f>
        <v>85.975682441292165</v>
      </c>
      <c r="AA17" s="72">
        <f t="shared" ref="AA17:AA23" si="31">T17*$X$7</f>
        <v>416.66666666666663</v>
      </c>
      <c r="AB17" s="300"/>
      <c r="AC17" s="72">
        <f t="shared" ref="AC17:AC23" si="32">$S17*$W$8</f>
        <v>967.48718560019074</v>
      </c>
      <c r="AD17" s="72">
        <f t="shared" si="18"/>
        <v>416.66666666666663</v>
      </c>
      <c r="AE17" s="300"/>
      <c r="AF17" s="72">
        <f t="shared" si="19"/>
        <v>154.81583025390393</v>
      </c>
      <c r="AG17" s="72">
        <f t="shared" si="20"/>
        <v>416.66666666666663</v>
      </c>
      <c r="AH17" s="300"/>
      <c r="AI17" s="72">
        <f t="shared" si="21"/>
        <v>1100.8463464060078</v>
      </c>
      <c r="AJ17" s="72">
        <f t="shared" si="22"/>
        <v>416.66666666666663</v>
      </c>
      <c r="AK17" s="300"/>
      <c r="AL17" s="85"/>
      <c r="AM17" s="85"/>
      <c r="AN17" s="85"/>
      <c r="AO17" s="85"/>
      <c r="AP17" s="85"/>
      <c r="AU17" s="72">
        <f t="shared" si="23"/>
        <v>100.57813803790678</v>
      </c>
      <c r="AV17" s="72">
        <f t="shared" si="24"/>
        <v>416.66666666666663</v>
      </c>
      <c r="AW17" s="300"/>
      <c r="AX17" s="72">
        <f t="shared" si="25"/>
        <v>90.296817260698532</v>
      </c>
      <c r="AY17" s="182">
        <f t="shared" si="26"/>
        <v>416.66666666666663</v>
      </c>
      <c r="AZ17" s="300"/>
    </row>
    <row r="18" spans="1:57" x14ac:dyDescent="0.25">
      <c r="A18" s="3" t="s">
        <v>245</v>
      </c>
      <c r="B18" s="3" t="s">
        <v>99</v>
      </c>
      <c r="C18" s="3" t="s">
        <v>45</v>
      </c>
      <c r="D18" s="3" t="s">
        <v>48</v>
      </c>
      <c r="E18" s="3" t="s">
        <v>48</v>
      </c>
      <c r="F18" t="s">
        <v>548</v>
      </c>
      <c r="G18" t="s">
        <v>263</v>
      </c>
      <c r="H18" s="67">
        <f t="shared" si="16"/>
        <v>687</v>
      </c>
      <c r="I18" s="67">
        <f t="shared" si="16"/>
        <v>687</v>
      </c>
      <c r="J18" s="67">
        <f t="shared" si="16"/>
        <v>687</v>
      </c>
      <c r="K18" s="67">
        <f t="shared" si="16"/>
        <v>687</v>
      </c>
      <c r="L18" s="705">
        <v>2748</v>
      </c>
      <c r="N18" s="538" t="s">
        <v>692</v>
      </c>
      <c r="P18" s="178">
        <f>INDEX('Apportionment Bases'!$AB$6:$AB$33,MATCH('PC12'!$N18,'Apportionment Bases'!$A$6:$A$33,0))</f>
        <v>0.5</v>
      </c>
      <c r="Q18" s="178">
        <f>INDEX('Apportionment Bases'!$AC$6:$AC$33,MATCH('PC12'!$N18,'Apportionment Bases'!$A$6:$A$33,0))</f>
        <v>0.5</v>
      </c>
      <c r="S18" s="72">
        <f t="shared" si="27"/>
        <v>1374</v>
      </c>
      <c r="T18" s="72">
        <f t="shared" si="28"/>
        <v>1374</v>
      </c>
      <c r="U18" s="266" t="str">
        <f t="shared" si="29"/>
        <v>TRUE</v>
      </c>
      <c r="Y18" s="301"/>
      <c r="Z18" s="72">
        <f t="shared" si="30"/>
        <v>47.252235069734176</v>
      </c>
      <c r="AA18" s="72">
        <f t="shared" si="31"/>
        <v>229</v>
      </c>
      <c r="AB18" s="300"/>
      <c r="AC18" s="72">
        <f t="shared" si="32"/>
        <v>531.7309572058648</v>
      </c>
      <c r="AD18" s="72">
        <f t="shared" si="18"/>
        <v>229</v>
      </c>
      <c r="AE18" s="300"/>
      <c r="AF18" s="72">
        <f t="shared" si="19"/>
        <v>85.086780307545595</v>
      </c>
      <c r="AG18" s="72">
        <f t="shared" si="20"/>
        <v>229</v>
      </c>
      <c r="AH18" s="300"/>
      <c r="AI18" s="72">
        <f t="shared" si="21"/>
        <v>605.02515198474191</v>
      </c>
      <c r="AJ18" s="72">
        <f t="shared" si="22"/>
        <v>229</v>
      </c>
      <c r="AK18" s="300"/>
      <c r="AL18" s="85"/>
      <c r="AM18" s="85"/>
      <c r="AN18" s="85"/>
      <c r="AO18" s="85"/>
      <c r="AP18" s="85"/>
      <c r="AU18" s="72">
        <f t="shared" si="23"/>
        <v>55.27774466563357</v>
      </c>
      <c r="AV18" s="72">
        <f t="shared" si="24"/>
        <v>229</v>
      </c>
      <c r="AW18" s="300"/>
      <c r="AX18" s="72">
        <f t="shared" si="25"/>
        <v>49.627130766479915</v>
      </c>
      <c r="AY18" s="182">
        <f t="shared" si="26"/>
        <v>229</v>
      </c>
      <c r="AZ18" s="300"/>
    </row>
    <row r="19" spans="1:57" x14ac:dyDescent="0.25">
      <c r="A19" s="3" t="s">
        <v>245</v>
      </c>
      <c r="B19" s="3" t="s">
        <v>111</v>
      </c>
      <c r="C19" s="3" t="s">
        <v>45</v>
      </c>
      <c r="D19" s="3" t="s">
        <v>48</v>
      </c>
      <c r="E19" s="3" t="s">
        <v>48</v>
      </c>
      <c r="F19" t="s">
        <v>549</v>
      </c>
      <c r="G19" t="s">
        <v>112</v>
      </c>
      <c r="H19" s="67">
        <f t="shared" si="16"/>
        <v>316</v>
      </c>
      <c r="I19" s="67">
        <f t="shared" si="16"/>
        <v>316</v>
      </c>
      <c r="J19" s="67">
        <f t="shared" si="16"/>
        <v>316</v>
      </c>
      <c r="K19" s="67">
        <f t="shared" si="16"/>
        <v>316</v>
      </c>
      <c r="L19" s="705">
        <v>1264</v>
      </c>
      <c r="N19" s="538" t="s">
        <v>692</v>
      </c>
      <c r="P19" s="178">
        <f>INDEX('Apportionment Bases'!$AB$6:$AB$33,MATCH('PC12'!$N19,'Apportionment Bases'!$A$6:$A$33,0))</f>
        <v>0.5</v>
      </c>
      <c r="Q19" s="178">
        <f>INDEX('Apportionment Bases'!$AC$6:$AC$33,MATCH('PC12'!$N19,'Apportionment Bases'!$A$6:$A$33,0))</f>
        <v>0.5</v>
      </c>
      <c r="S19" s="72">
        <f t="shared" si="27"/>
        <v>632</v>
      </c>
      <c r="T19" s="72">
        <f t="shared" si="28"/>
        <v>632</v>
      </c>
      <c r="U19" s="266" t="str">
        <f t="shared" si="29"/>
        <v>TRUE</v>
      </c>
      <c r="Y19" s="301"/>
      <c r="Z19" s="72">
        <f t="shared" si="30"/>
        <v>21.734652521158658</v>
      </c>
      <c r="AA19" s="72">
        <f t="shared" si="31"/>
        <v>105.33333333333333</v>
      </c>
      <c r="AB19" s="300"/>
      <c r="AC19" s="72">
        <f t="shared" si="32"/>
        <v>244.58076051972822</v>
      </c>
      <c r="AD19" s="72">
        <f t="shared" si="18"/>
        <v>105.33333333333333</v>
      </c>
      <c r="AE19" s="300"/>
      <c r="AF19" s="72">
        <f t="shared" si="19"/>
        <v>39.137441888186906</v>
      </c>
      <c r="AG19" s="72">
        <f t="shared" si="20"/>
        <v>105.33333333333333</v>
      </c>
      <c r="AH19" s="300"/>
      <c r="AI19" s="72">
        <f t="shared" si="21"/>
        <v>278.29395637143875</v>
      </c>
      <c r="AJ19" s="72">
        <f t="shared" si="22"/>
        <v>105.33333333333333</v>
      </c>
      <c r="AK19" s="300"/>
      <c r="AL19" s="85"/>
      <c r="AM19" s="85"/>
      <c r="AN19" s="85"/>
      <c r="AO19" s="85"/>
      <c r="AP19" s="85"/>
      <c r="AU19" s="72">
        <f t="shared" si="23"/>
        <v>25.426153295982836</v>
      </c>
      <c r="AV19" s="72">
        <f t="shared" si="24"/>
        <v>105.33333333333333</v>
      </c>
      <c r="AW19" s="300"/>
      <c r="AX19" s="72">
        <f t="shared" si="25"/>
        <v>22.827035403504588</v>
      </c>
      <c r="AY19" s="182">
        <f t="shared" si="26"/>
        <v>105.33333333333333</v>
      </c>
      <c r="AZ19" s="300"/>
    </row>
    <row r="20" spans="1:57" x14ac:dyDescent="0.25">
      <c r="A20" s="3" t="s">
        <v>245</v>
      </c>
      <c r="B20" s="3" t="s">
        <v>119</v>
      </c>
      <c r="C20" s="3" t="s">
        <v>45</v>
      </c>
      <c r="D20" s="3" t="s">
        <v>48</v>
      </c>
      <c r="E20" s="3" t="s">
        <v>48</v>
      </c>
      <c r="F20" t="s">
        <v>550</v>
      </c>
      <c r="G20" t="s">
        <v>120</v>
      </c>
      <c r="H20" s="67">
        <f t="shared" si="16"/>
        <v>31250</v>
      </c>
      <c r="I20" s="67">
        <f t="shared" si="16"/>
        <v>31250</v>
      </c>
      <c r="J20" s="67">
        <f t="shared" si="16"/>
        <v>31250</v>
      </c>
      <c r="K20" s="67">
        <f t="shared" si="16"/>
        <v>31250</v>
      </c>
      <c r="L20" s="705">
        <v>125000</v>
      </c>
      <c r="N20" s="538" t="s">
        <v>692</v>
      </c>
      <c r="P20" s="178">
        <f>INDEX('Apportionment Bases'!$AB$6:$AB$33,MATCH('PC12'!$N20,'Apportionment Bases'!$A$6:$A$33,0))</f>
        <v>0.5</v>
      </c>
      <c r="Q20" s="178">
        <f>INDEX('Apportionment Bases'!$AC$6:$AC$33,MATCH('PC12'!$N20,'Apportionment Bases'!$A$6:$A$33,0))</f>
        <v>0.5</v>
      </c>
      <c r="S20" s="72">
        <f t="shared" si="27"/>
        <v>62500</v>
      </c>
      <c r="T20" s="72">
        <f t="shared" si="28"/>
        <v>62500</v>
      </c>
      <c r="U20" s="266" t="str">
        <f t="shared" si="29"/>
        <v>TRUE</v>
      </c>
      <c r="Y20" s="301"/>
      <c r="Z20" s="72">
        <f t="shared" si="30"/>
        <v>2149.3920610323044</v>
      </c>
      <c r="AA20" s="72">
        <f t="shared" si="31"/>
        <v>10416.666666666666</v>
      </c>
      <c r="AB20" s="300"/>
      <c r="AC20" s="72">
        <f t="shared" si="32"/>
        <v>24187.179640004768</v>
      </c>
      <c r="AD20" s="72">
        <f t="shared" si="18"/>
        <v>10416.666666666666</v>
      </c>
      <c r="AE20" s="300"/>
      <c r="AF20" s="72">
        <f t="shared" si="19"/>
        <v>3870.3957563475979</v>
      </c>
      <c r="AG20" s="72">
        <f t="shared" si="20"/>
        <v>10416.666666666666</v>
      </c>
      <c r="AH20" s="300"/>
      <c r="AI20" s="72">
        <f t="shared" si="21"/>
        <v>27521.158660150195</v>
      </c>
      <c r="AJ20" s="72">
        <f t="shared" si="22"/>
        <v>10416.666666666666</v>
      </c>
      <c r="AK20" s="300"/>
      <c r="AL20" s="85"/>
      <c r="AM20" s="85"/>
      <c r="AN20" s="85"/>
      <c r="AO20" s="85"/>
      <c r="AP20" s="85"/>
      <c r="AU20" s="72">
        <f t="shared" si="23"/>
        <v>2514.4534509476698</v>
      </c>
      <c r="AV20" s="72">
        <f t="shared" si="24"/>
        <v>10416.666666666666</v>
      </c>
      <c r="AW20" s="300"/>
      <c r="AX20" s="72">
        <f t="shared" si="25"/>
        <v>2257.4204315174634</v>
      </c>
      <c r="AY20" s="182">
        <f t="shared" si="26"/>
        <v>10416.666666666666</v>
      </c>
      <c r="AZ20" s="300"/>
    </row>
    <row r="21" spans="1:57" x14ac:dyDescent="0.25">
      <c r="A21" s="3" t="s">
        <v>245</v>
      </c>
      <c r="B21" s="3" t="s">
        <v>153</v>
      </c>
      <c r="C21" s="3" t="s">
        <v>45</v>
      </c>
      <c r="D21" s="3" t="s">
        <v>48</v>
      </c>
      <c r="E21" s="3" t="s">
        <v>48</v>
      </c>
      <c r="F21" t="s">
        <v>551</v>
      </c>
      <c r="G21" t="s">
        <v>29</v>
      </c>
      <c r="H21" s="67">
        <f t="shared" si="16"/>
        <v>0</v>
      </c>
      <c r="I21" s="67">
        <f t="shared" si="16"/>
        <v>0</v>
      </c>
      <c r="J21" s="67">
        <f t="shared" si="16"/>
        <v>0</v>
      </c>
      <c r="K21" s="67">
        <f t="shared" si="16"/>
        <v>0</v>
      </c>
      <c r="L21" s="705">
        <v>0</v>
      </c>
      <c r="N21" s="538" t="s">
        <v>692</v>
      </c>
      <c r="P21" s="178">
        <f>INDEX('Apportionment Bases'!$AB$6:$AB$33,MATCH('PC12'!$N21,'Apportionment Bases'!$A$6:$A$33,0))</f>
        <v>0.5</v>
      </c>
      <c r="Q21" s="178">
        <f>INDEX('Apportionment Bases'!$AC$6:$AC$33,MATCH('PC12'!$N21,'Apportionment Bases'!$A$6:$A$33,0))</f>
        <v>0.5</v>
      </c>
      <c r="S21" s="72">
        <f t="shared" si="27"/>
        <v>0</v>
      </c>
      <c r="T21" s="72">
        <f t="shared" si="28"/>
        <v>0</v>
      </c>
      <c r="U21" s="266" t="str">
        <f t="shared" si="29"/>
        <v>TRUE</v>
      </c>
      <c r="Y21" s="301"/>
      <c r="Z21" s="72">
        <f t="shared" si="30"/>
        <v>0</v>
      </c>
      <c r="AA21" s="72">
        <f t="shared" si="31"/>
        <v>0</v>
      </c>
      <c r="AB21" s="300"/>
      <c r="AC21" s="72">
        <f t="shared" si="32"/>
        <v>0</v>
      </c>
      <c r="AD21" s="72">
        <f t="shared" si="18"/>
        <v>0</v>
      </c>
      <c r="AE21" s="300"/>
      <c r="AF21" s="72">
        <f t="shared" si="19"/>
        <v>0</v>
      </c>
      <c r="AG21" s="72">
        <f t="shared" si="20"/>
        <v>0</v>
      </c>
      <c r="AH21" s="300"/>
      <c r="AI21" s="72">
        <f t="shared" si="21"/>
        <v>0</v>
      </c>
      <c r="AJ21" s="72">
        <f t="shared" si="22"/>
        <v>0</v>
      </c>
      <c r="AK21" s="300"/>
      <c r="AL21" s="85"/>
      <c r="AM21" s="85"/>
      <c r="AN21" s="85"/>
      <c r="AO21" s="85"/>
      <c r="AP21" s="85"/>
      <c r="AU21" s="72">
        <f t="shared" si="23"/>
        <v>0</v>
      </c>
      <c r="AV21" s="72">
        <f t="shared" si="24"/>
        <v>0</v>
      </c>
      <c r="AW21" s="300"/>
      <c r="AX21" s="72">
        <f t="shared" si="25"/>
        <v>0</v>
      </c>
      <c r="AY21" s="182">
        <f t="shared" si="26"/>
        <v>0</v>
      </c>
      <c r="AZ21" s="300"/>
    </row>
    <row r="22" spans="1:57" x14ac:dyDescent="0.25">
      <c r="A22" s="3" t="s">
        <v>245</v>
      </c>
      <c r="B22" s="3" t="s">
        <v>156</v>
      </c>
      <c r="C22" s="3" t="s">
        <v>45</v>
      </c>
      <c r="D22" s="3" t="s">
        <v>48</v>
      </c>
      <c r="E22" s="3" t="s">
        <v>48</v>
      </c>
      <c r="F22" t="s">
        <v>555</v>
      </c>
      <c r="G22" t="s">
        <v>30</v>
      </c>
      <c r="H22" s="67">
        <f t="shared" si="16"/>
        <v>0</v>
      </c>
      <c r="I22" s="67">
        <f t="shared" si="16"/>
        <v>0</v>
      </c>
      <c r="J22" s="67">
        <f t="shared" si="16"/>
        <v>0</v>
      </c>
      <c r="K22" s="67">
        <f t="shared" si="16"/>
        <v>0</v>
      </c>
      <c r="L22" s="705">
        <v>0</v>
      </c>
      <c r="N22" s="538" t="s">
        <v>692</v>
      </c>
      <c r="P22" s="178">
        <f>INDEX('Apportionment Bases'!$AB$6:$AB$33,MATCH('PC12'!$N22,'Apportionment Bases'!$A$6:$A$33,0))</f>
        <v>0.5</v>
      </c>
      <c r="Q22" s="178">
        <f>INDEX('Apportionment Bases'!$AC$6:$AC$33,MATCH('PC12'!$N22,'Apportionment Bases'!$A$6:$A$33,0))</f>
        <v>0.5</v>
      </c>
      <c r="S22" s="72">
        <f t="shared" si="27"/>
        <v>0</v>
      </c>
      <c r="T22" s="72">
        <f t="shared" si="28"/>
        <v>0</v>
      </c>
      <c r="U22" s="266" t="str">
        <f t="shared" si="29"/>
        <v>TRUE</v>
      </c>
      <c r="Y22" s="301"/>
      <c r="Z22" s="72">
        <f t="shared" si="30"/>
        <v>0</v>
      </c>
      <c r="AA22" s="72">
        <f t="shared" si="31"/>
        <v>0</v>
      </c>
      <c r="AB22" s="300"/>
      <c r="AC22" s="72">
        <f t="shared" si="32"/>
        <v>0</v>
      </c>
      <c r="AD22" s="72">
        <f t="shared" si="18"/>
        <v>0</v>
      </c>
      <c r="AE22" s="300"/>
      <c r="AF22" s="72">
        <f t="shared" si="19"/>
        <v>0</v>
      </c>
      <c r="AG22" s="72">
        <f t="shared" si="20"/>
        <v>0</v>
      </c>
      <c r="AH22" s="300"/>
      <c r="AI22" s="72">
        <f t="shared" si="21"/>
        <v>0</v>
      </c>
      <c r="AJ22" s="72">
        <f t="shared" si="22"/>
        <v>0</v>
      </c>
      <c r="AK22" s="300"/>
      <c r="AL22" s="85"/>
      <c r="AM22" s="85"/>
      <c r="AN22" s="85"/>
      <c r="AO22" s="85"/>
      <c r="AP22" s="85"/>
      <c r="AU22" s="72">
        <f t="shared" si="23"/>
        <v>0</v>
      </c>
      <c r="AV22" s="72">
        <f t="shared" si="24"/>
        <v>0</v>
      </c>
      <c r="AW22" s="300"/>
      <c r="AX22" s="72">
        <f t="shared" si="25"/>
        <v>0</v>
      </c>
      <c r="AY22" s="182">
        <f t="shared" si="26"/>
        <v>0</v>
      </c>
      <c r="AZ22" s="300"/>
    </row>
    <row r="23" spans="1:57" x14ac:dyDescent="0.25">
      <c r="A23" s="3" t="s">
        <v>245</v>
      </c>
      <c r="B23" s="3" t="s">
        <v>158</v>
      </c>
      <c r="C23" s="3" t="s">
        <v>45</v>
      </c>
      <c r="D23" s="3" t="s">
        <v>48</v>
      </c>
      <c r="E23" s="3" t="s">
        <v>48</v>
      </c>
      <c r="F23" t="s">
        <v>556</v>
      </c>
      <c r="G23" t="s">
        <v>159</v>
      </c>
      <c r="H23" s="67">
        <f t="shared" si="16"/>
        <v>1767.75</v>
      </c>
      <c r="I23" s="67">
        <f t="shared" si="16"/>
        <v>1767.75</v>
      </c>
      <c r="J23" s="67">
        <f t="shared" si="16"/>
        <v>1767.75</v>
      </c>
      <c r="K23" s="67">
        <f t="shared" si="16"/>
        <v>1767.75</v>
      </c>
      <c r="L23" s="705">
        <v>7071</v>
      </c>
      <c r="N23" s="538" t="s">
        <v>692</v>
      </c>
      <c r="P23" s="178">
        <f>INDEX('Apportionment Bases'!$AB$6:$AB$33,MATCH('PC12'!$N23,'Apportionment Bases'!$A$6:$A$33,0))</f>
        <v>0.5</v>
      </c>
      <c r="Q23" s="178">
        <f>INDEX('Apportionment Bases'!$AC$6:$AC$33,MATCH('PC12'!$N23,'Apportionment Bases'!$A$6:$A$33,0))</f>
        <v>0.5</v>
      </c>
      <c r="S23" s="72">
        <f t="shared" si="27"/>
        <v>3535.5</v>
      </c>
      <c r="T23" s="72">
        <f t="shared" si="28"/>
        <v>3535.5</v>
      </c>
      <c r="U23" s="266" t="str">
        <f t="shared" si="29"/>
        <v>TRUE</v>
      </c>
      <c r="Y23" s="301"/>
      <c r="Z23" s="72">
        <f t="shared" si="30"/>
        <v>121.58681010847538</v>
      </c>
      <c r="AA23" s="72">
        <f t="shared" si="31"/>
        <v>589.25</v>
      </c>
      <c r="AB23" s="300"/>
      <c r="AC23" s="72">
        <f t="shared" si="32"/>
        <v>1368.2203778757896</v>
      </c>
      <c r="AD23" s="72">
        <f t="shared" si="18"/>
        <v>589.25</v>
      </c>
      <c r="AE23" s="300"/>
      <c r="AF23" s="72">
        <f t="shared" si="19"/>
        <v>218.94054714507092</v>
      </c>
      <c r="AG23" s="72">
        <f t="shared" si="20"/>
        <v>589.25</v>
      </c>
      <c r="AH23" s="300"/>
      <c r="AI23" s="72">
        <f t="shared" si="21"/>
        <v>1556.8169030873762</v>
      </c>
      <c r="AJ23" s="72">
        <f t="shared" si="22"/>
        <v>589.25</v>
      </c>
      <c r="AK23" s="300"/>
      <c r="AL23" s="85"/>
      <c r="AM23" s="85"/>
      <c r="AN23" s="85"/>
      <c r="AO23" s="85"/>
      <c r="AP23" s="85"/>
      <c r="AU23" s="72">
        <f t="shared" si="23"/>
        <v>142.23760281320779</v>
      </c>
      <c r="AV23" s="72">
        <f t="shared" si="24"/>
        <v>589.25</v>
      </c>
      <c r="AW23" s="300"/>
      <c r="AX23" s="72">
        <f t="shared" si="25"/>
        <v>127.69775897007986</v>
      </c>
      <c r="AY23" s="182">
        <f t="shared" si="26"/>
        <v>589.25</v>
      </c>
      <c r="AZ23" s="300"/>
    </row>
    <row r="24" spans="1:57" ht="15.75" thickBot="1" x14ac:dyDescent="0.3">
      <c r="A24" s="27"/>
      <c r="B24" s="27"/>
      <c r="C24" s="27"/>
      <c r="D24" s="27"/>
      <c r="E24" s="27"/>
      <c r="F24" s="28"/>
      <c r="G24" s="28" t="s">
        <v>160</v>
      </c>
      <c r="H24" s="29">
        <f t="shared" ref="H24:K24" si="33">SUM(H16:H23)</f>
        <v>39270.75</v>
      </c>
      <c r="I24" s="29">
        <f t="shared" si="33"/>
        <v>39270.75</v>
      </c>
      <c r="J24" s="29">
        <f t="shared" si="33"/>
        <v>39270.75</v>
      </c>
      <c r="K24" s="29">
        <f t="shared" si="33"/>
        <v>39270.75</v>
      </c>
      <c r="L24" s="34">
        <f>SUM(L16:L23)</f>
        <v>157083</v>
      </c>
      <c r="M24" s="28"/>
      <c r="N24" s="28"/>
      <c r="O24" s="28"/>
      <c r="P24" s="28"/>
      <c r="Q24" s="28"/>
      <c r="R24" s="28"/>
      <c r="S24" s="29">
        <f>SUM(S16:S23)</f>
        <v>78541.5</v>
      </c>
      <c r="T24" s="29">
        <f>SUM(T16:T23)</f>
        <v>78541.5</v>
      </c>
      <c r="U24" s="28"/>
      <c r="V24" s="28"/>
      <c r="W24" s="28"/>
      <c r="X24" s="28"/>
      <c r="Y24" s="306"/>
      <c r="Z24" s="29">
        <f>SUM(Z16:Z23)</f>
        <v>2701.0636249850995</v>
      </c>
      <c r="AA24" s="29">
        <f>SUM(AA16:AA23)</f>
        <v>13090.25</v>
      </c>
      <c r="AB24" s="306"/>
      <c r="AC24" s="29">
        <f>SUM(AC16:AC23)</f>
        <v>30395.157915126951</v>
      </c>
      <c r="AD24" s="29">
        <f>SUM(AD16:AD23)</f>
        <v>13090.25</v>
      </c>
      <c r="AE24" s="306"/>
      <c r="AF24" s="29">
        <f>SUM(AF16:AF23)</f>
        <v>4863.7870127547976</v>
      </c>
      <c r="AG24" s="29">
        <f>SUM(AG16:AG23)</f>
        <v>13090.25</v>
      </c>
      <c r="AH24" s="306"/>
      <c r="AI24" s="29">
        <f>SUM(AI16:AI23)</f>
        <v>34584.849326498981</v>
      </c>
      <c r="AJ24" s="29">
        <f>SUM(AJ16:AJ23)</f>
        <v>13090.25</v>
      </c>
      <c r="AK24" s="306"/>
      <c r="AL24" s="28"/>
      <c r="AM24" s="28"/>
      <c r="AN24" s="28"/>
      <c r="AO24" s="28"/>
      <c r="AP24" s="28"/>
      <c r="AQ24" s="28"/>
      <c r="AR24" s="28"/>
      <c r="AS24" s="28"/>
      <c r="AT24" s="28"/>
      <c r="AU24" s="29">
        <f>SUM(AU16:AU23)</f>
        <v>3159.8231314817021</v>
      </c>
      <c r="AV24" s="29">
        <f>SUM(AV16:AV23)</f>
        <v>13090.25</v>
      </c>
      <c r="AW24" s="306"/>
      <c r="AX24" s="29">
        <f>SUM(AX16:AX23)</f>
        <v>2836.8189891524617</v>
      </c>
      <c r="AY24" s="29">
        <f>SUM(AY16:AY23)</f>
        <v>13090.25</v>
      </c>
      <c r="AZ24" s="340"/>
      <c r="BA24" s="28"/>
      <c r="BB24" s="28"/>
      <c r="BC24" s="28"/>
      <c r="BD24" s="28"/>
      <c r="BE24" s="28"/>
    </row>
    <row r="25" spans="1:57" ht="15.75" thickTop="1" x14ac:dyDescent="0.25">
      <c r="G25" s="266" t="s">
        <v>696</v>
      </c>
      <c r="H25" s="266"/>
      <c r="I25" s="266"/>
      <c r="J25" s="266"/>
      <c r="K25" s="266"/>
      <c r="L25" s="539">
        <v>-35</v>
      </c>
      <c r="Y25" s="301"/>
      <c r="Z25" s="85"/>
      <c r="AA25" s="85"/>
      <c r="AB25" s="300"/>
      <c r="AC25" s="85"/>
      <c r="AD25" s="85"/>
      <c r="AE25" s="300"/>
      <c r="AF25" s="85"/>
      <c r="AG25" s="85"/>
      <c r="AH25" s="300"/>
      <c r="AI25" s="85"/>
      <c r="AJ25" s="85"/>
      <c r="AK25" s="300"/>
      <c r="AL25" s="85"/>
      <c r="AM25" s="85"/>
      <c r="AN25" s="85"/>
      <c r="AO25" s="85"/>
      <c r="AP25" s="85"/>
      <c r="AU25" s="85"/>
      <c r="AV25" s="85"/>
      <c r="AW25" s="300"/>
      <c r="AZ25" s="300"/>
    </row>
    <row r="26" spans="1:57" ht="15.75" thickBot="1" x14ac:dyDescent="0.3">
      <c r="A26" s="27"/>
      <c r="B26" s="27"/>
      <c r="C26" s="27"/>
      <c r="D26" s="27"/>
      <c r="E26" s="27"/>
      <c r="F26" s="28"/>
      <c r="G26" s="28" t="s">
        <v>161</v>
      </c>
      <c r="H26" s="28"/>
      <c r="I26" s="28"/>
      <c r="J26" s="28"/>
      <c r="K26" s="28"/>
      <c r="L26" s="34">
        <f>L24+L13+L25</f>
        <v>244872</v>
      </c>
      <c r="M26" s="28"/>
      <c r="N26" s="28"/>
      <c r="O26" s="28"/>
      <c r="P26" s="28"/>
      <c r="Q26" s="28"/>
      <c r="R26" s="28"/>
      <c r="S26" s="29">
        <f>S24+S13</f>
        <v>122453.5</v>
      </c>
      <c r="T26" s="29">
        <f>T24+T13</f>
        <v>122453.5</v>
      </c>
      <c r="U26" s="28"/>
      <c r="V26" s="28"/>
      <c r="W26" s="28"/>
      <c r="X26" s="28"/>
      <c r="Y26" s="306"/>
      <c r="Z26" s="29">
        <f>Z24+Z13</f>
        <v>4211.2092919299084</v>
      </c>
      <c r="AA26" s="29">
        <f>AA24+AA13</f>
        <v>20408.916666666664</v>
      </c>
      <c r="AB26" s="306"/>
      <c r="AC26" s="29">
        <f>AC24+AC13</f>
        <v>47388.876832757174</v>
      </c>
      <c r="AD26" s="29">
        <f>AD24+AD13</f>
        <v>20408.916666666664</v>
      </c>
      <c r="AE26" s="306"/>
      <c r="AF26" s="29">
        <f>AF24+AF13</f>
        <v>7583.0961079985691</v>
      </c>
      <c r="AG26" s="29">
        <f>AG24+AG13</f>
        <v>20408.916666666664</v>
      </c>
      <c r="AH26" s="306"/>
      <c r="AI26" s="29">
        <f>AI24+AI13</f>
        <v>53920.995231851222</v>
      </c>
      <c r="AJ26" s="29">
        <f>AJ24+AJ13</f>
        <v>20408.916666666664</v>
      </c>
      <c r="AK26" s="306"/>
      <c r="AL26" s="28"/>
      <c r="AM26" s="28"/>
      <c r="AN26" s="28"/>
      <c r="AO26" s="28"/>
      <c r="AP26" s="28"/>
      <c r="AQ26" s="28"/>
      <c r="AR26" s="28"/>
      <c r="AS26" s="28"/>
      <c r="AT26" s="28"/>
      <c r="AU26" s="29">
        <f>AU24+AU13</f>
        <v>4926.4580104899269</v>
      </c>
      <c r="AV26" s="29">
        <f>AV24+AV13</f>
        <v>20408.916666666664</v>
      </c>
      <c r="AW26" s="306"/>
      <c r="AX26" s="29">
        <f>AX24+AX13</f>
        <v>4422.8645249731799</v>
      </c>
      <c r="AY26" s="29">
        <f>AY24+AY13</f>
        <v>20408.916666666664</v>
      </c>
      <c r="AZ26" s="340"/>
      <c r="BA26" s="28"/>
      <c r="BB26" s="28"/>
      <c r="BC26" s="28"/>
      <c r="BD26" s="28"/>
      <c r="BE26" s="28"/>
    </row>
    <row r="27" spans="1:57" ht="15.75" thickTop="1" x14ac:dyDescent="0.25">
      <c r="Y27" s="301"/>
      <c r="Z27" s="298">
        <f>Z26/$S$26</f>
        <v>3.4390272976516867E-2</v>
      </c>
      <c r="AA27" s="298">
        <f>AA26/$T$26</f>
        <v>0.16666666666666666</v>
      </c>
      <c r="AB27" s="300"/>
      <c r="AC27" s="298">
        <f>AC26/$S$26</f>
        <v>0.38699487424007623</v>
      </c>
      <c r="AD27" s="298">
        <f>AD26/$T$26</f>
        <v>0.16666666666666666</v>
      </c>
      <c r="AE27" s="300"/>
      <c r="AF27" s="298">
        <f>AF26/$S$26</f>
        <v>6.1926332101561565E-2</v>
      </c>
      <c r="AG27" s="298">
        <f>AG26/$T$26</f>
        <v>0.16666666666666666</v>
      </c>
      <c r="AH27" s="300"/>
      <c r="AI27" s="298">
        <f>AI26/$S$26</f>
        <v>0.44033853856240307</v>
      </c>
      <c r="AJ27" s="298">
        <f>AJ26/$T$26</f>
        <v>0.16666666666666666</v>
      </c>
      <c r="AK27" s="300"/>
      <c r="AL27" s="85"/>
      <c r="AM27" s="85"/>
      <c r="AN27" s="85"/>
      <c r="AO27" s="85"/>
      <c r="AP27" s="85"/>
      <c r="AU27" s="298">
        <f>AU26/$S$26</f>
        <v>4.0231255215162708E-2</v>
      </c>
      <c r="AV27" s="298">
        <f>AV26/$T$26</f>
        <v>0.16666666666666666</v>
      </c>
      <c r="AW27" s="300"/>
      <c r="AX27" s="298">
        <f>AX26/$S$26</f>
        <v>3.6118726904279419E-2</v>
      </c>
      <c r="AY27" s="298">
        <f>AY26/$T$26</f>
        <v>0.16666666666666666</v>
      </c>
      <c r="AZ27" s="300"/>
    </row>
    <row r="28" spans="1:57" x14ac:dyDescent="0.25">
      <c r="Y28" s="301"/>
      <c r="Z28" s="54" t="str">
        <f>IF(Z27=W$7,"TRUE","FALSE")</f>
        <v>TRUE</v>
      </c>
      <c r="AA28" s="54" t="str">
        <f>IF(AA27=X$7,"TRUE","FALSE")</f>
        <v>TRUE</v>
      </c>
      <c r="AB28" s="300"/>
      <c r="AC28" s="54" t="str">
        <f>IF(AC27=W$8,"TRUE","FALSE")</f>
        <v>TRUE</v>
      </c>
      <c r="AD28" s="54" t="str">
        <f>IF(AD27=X$8,"TRUE","FALSE")</f>
        <v>TRUE</v>
      </c>
      <c r="AE28" s="300"/>
      <c r="AF28" s="54" t="str">
        <f>IF(AF27=W$9,"TRUE","FALSE")</f>
        <v>TRUE</v>
      </c>
      <c r="AG28" s="54" t="str">
        <f>IF(AG27=X$9,"TRUE","FALSE")</f>
        <v>TRUE</v>
      </c>
      <c r="AH28" s="300"/>
      <c r="AI28" s="54" t="str">
        <f>IF(AI27=W$10,"TRUE","FALSE")</f>
        <v>TRUE</v>
      </c>
      <c r="AJ28" s="54" t="str">
        <f>IF(AJ27=X$10,"TRUE","FALSE")</f>
        <v>TRUE</v>
      </c>
      <c r="AK28" s="300"/>
      <c r="AL28" s="85"/>
      <c r="AM28" s="85"/>
      <c r="AN28" s="85"/>
      <c r="AO28" s="85"/>
      <c r="AP28" s="85"/>
      <c r="AU28" s="54" t="str">
        <f>IF(AU27=W$11,"TRUE","FALSE")</f>
        <v>TRUE</v>
      </c>
      <c r="AV28" s="54" t="str">
        <f>IF(AV27=X$11,"TRUE","FALSE")</f>
        <v>TRUE</v>
      </c>
      <c r="AW28" s="300"/>
      <c r="AX28" s="54" t="str">
        <f>IF(AX27=W$12,"TRUE","FALSE")</f>
        <v>TRUE</v>
      </c>
      <c r="AY28" s="54" t="str">
        <f>IF(AY27=X$12,"TRUE","FALSE")</f>
        <v>TRUE</v>
      </c>
      <c r="AZ28" s="300"/>
    </row>
    <row r="29" spans="1:57" ht="8.25" customHeight="1" x14ac:dyDescent="0.25">
      <c r="Y29" s="301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1"/>
      <c r="AR29" s="301"/>
      <c r="AS29" s="301"/>
      <c r="AT29" s="301"/>
      <c r="AU29" s="300"/>
      <c r="AV29" s="300"/>
      <c r="AW29" s="300"/>
      <c r="AX29" s="301"/>
      <c r="AY29" s="301"/>
      <c r="AZ29" s="300"/>
    </row>
  </sheetData>
  <mergeCells count="18">
    <mergeCell ref="AX4:AY4"/>
    <mergeCell ref="BA4:BB4"/>
    <mergeCell ref="BD4:BE4"/>
    <mergeCell ref="AC4:AD4"/>
    <mergeCell ref="AF4:AG4"/>
    <mergeCell ref="AI4:AJ4"/>
    <mergeCell ref="AL4:AM4"/>
    <mergeCell ref="AO4:AP4"/>
    <mergeCell ref="AR4:AS4"/>
    <mergeCell ref="A1:N1"/>
    <mergeCell ref="A2:N2"/>
    <mergeCell ref="AU4:AV4"/>
    <mergeCell ref="A6:G6"/>
    <mergeCell ref="A15:G15"/>
    <mergeCell ref="P4:Q4"/>
    <mergeCell ref="S4:T4"/>
    <mergeCell ref="Z4:AA4"/>
    <mergeCell ref="V4:X4"/>
  </mergeCells>
  <conditionalFormatting sqref="N16:N23">
    <cfRule type="containsText" dxfId="1010" priority="16" operator="containsText" text="Insurance">
      <formula>NOT(ISERROR(SEARCH("Insurance",N16)))</formula>
    </cfRule>
    <cfRule type="containsText" dxfId="1009" priority="17" operator="containsText" text="Region 9">
      <formula>NOT(ISERROR(SEARCH("Region 9",N16)))</formula>
    </cfRule>
    <cfRule type="containsText" dxfId="1008" priority="18" operator="containsText" text="ETM">
      <formula>NOT(ISERROR(SEARCH("ETM",N16)))</formula>
    </cfRule>
    <cfRule type="containsText" dxfId="1007" priority="19" operator="containsText" text="Outfall">
      <formula>NOT(ISERROR(SEARCH("Outfall",N16)))</formula>
    </cfRule>
    <cfRule type="containsText" dxfId="1006" priority="20" operator="containsText" text="Petroleum">
      <formula>NOT(ISERROR(SEARCH("Petroleum",N16)))</formula>
    </cfRule>
    <cfRule type="containsText" dxfId="1005" priority="21" operator="containsText" text="Laboratory">
      <formula>NOT(ISERROR(SEARCH("Laboratory",N16)))</formula>
    </cfRule>
    <cfRule type="containsText" dxfId="1004" priority="22" operator="containsText" text="Odor Control">
      <formula>NOT(ISERROR(SEARCH("Odor Control",N16)))</formula>
    </cfRule>
    <cfRule type="containsText" dxfId="1003" priority="23" operator="containsText" text="Ferric">
      <formula>NOT(ISERROR(SEARCH("Ferric",N16)))</formula>
    </cfRule>
    <cfRule type="containsText" dxfId="1002" priority="24" operator="containsText" text="Chlorine">
      <formula>NOT(ISERROR(SEARCH("Chlorine",N16)))</formula>
    </cfRule>
    <cfRule type="containsText" dxfId="1001" priority="25" operator="containsText" text="Potable">
      <formula>NOT(ISERROR(SEARCH("Potable",N16)))</formula>
    </cfRule>
    <cfRule type="containsText" dxfId="1000" priority="26" operator="containsText" text="Natural Gas">
      <formula>NOT(ISERROR(SEARCH("Natural Gas",N16)))</formula>
    </cfRule>
    <cfRule type="containsText" dxfId="999" priority="27" operator="containsText" text="Electricity">
      <formula>NOT(ISERROR(SEARCH("Electricity",N16)))</formula>
    </cfRule>
    <cfRule type="containsText" dxfId="998" priority="28" operator="containsText" text="Single Area">
      <formula>NOT(ISERROR(SEARCH("Single Area",N16)))</formula>
    </cfRule>
    <cfRule type="containsText" dxfId="997" priority="29" operator="containsText" text="Actual Use">
      <formula>NOT(ISERROR(SEARCH("Actual Use",N16)))</formula>
    </cfRule>
    <cfRule type="containsText" dxfId="996" priority="30" operator="containsText" text="Labor -">
      <formula>NOT(ISERROR(SEARCH("Labor -",N16)))</formula>
    </cfRule>
  </conditionalFormatting>
  <conditionalFormatting sqref="N7:N12">
    <cfRule type="containsText" dxfId="995" priority="1" operator="containsText" text="Insurance">
      <formula>NOT(ISERROR(SEARCH("Insurance",N7)))</formula>
    </cfRule>
    <cfRule type="containsText" dxfId="994" priority="2" operator="containsText" text="Region 9">
      <formula>NOT(ISERROR(SEARCH("Region 9",N7)))</formula>
    </cfRule>
    <cfRule type="containsText" dxfId="993" priority="3" operator="containsText" text="ETM">
      <formula>NOT(ISERROR(SEARCH("ETM",N7)))</formula>
    </cfRule>
    <cfRule type="containsText" dxfId="992" priority="4" operator="containsText" text="Outfall">
      <formula>NOT(ISERROR(SEARCH("Outfall",N7)))</formula>
    </cfRule>
    <cfRule type="containsText" dxfId="991" priority="5" operator="containsText" text="Petroleum">
      <formula>NOT(ISERROR(SEARCH("Petroleum",N7)))</formula>
    </cfRule>
    <cfRule type="containsText" dxfId="990" priority="6" operator="containsText" text="Laboratory">
      <formula>NOT(ISERROR(SEARCH("Laboratory",N7)))</formula>
    </cfRule>
    <cfRule type="containsText" dxfId="989" priority="7" operator="containsText" text="Odor Control">
      <formula>NOT(ISERROR(SEARCH("Odor Control",N7)))</formula>
    </cfRule>
    <cfRule type="containsText" dxfId="988" priority="8" operator="containsText" text="Ferric">
      <formula>NOT(ISERROR(SEARCH("Ferric",N7)))</formula>
    </cfRule>
    <cfRule type="containsText" dxfId="987" priority="9" operator="containsText" text="Chlorine">
      <formula>NOT(ISERROR(SEARCH("Chlorine",N7)))</formula>
    </cfRule>
    <cfRule type="containsText" dxfId="986" priority="10" operator="containsText" text="Potable">
      <formula>NOT(ISERROR(SEARCH("Potable",N7)))</formula>
    </cfRule>
    <cfRule type="containsText" dxfId="985" priority="11" operator="containsText" text="Natural Gas">
      <formula>NOT(ISERROR(SEARCH("Natural Gas",N7)))</formula>
    </cfRule>
    <cfRule type="containsText" dxfId="984" priority="12" operator="containsText" text="Electricity">
      <formula>NOT(ISERROR(SEARCH("Electricity",N7)))</formula>
    </cfRule>
    <cfRule type="containsText" dxfId="983" priority="13" operator="containsText" text="Single Area">
      <formula>NOT(ISERROR(SEARCH("Single Area",N7)))</formula>
    </cfRule>
    <cfRule type="containsText" dxfId="982" priority="14" operator="containsText" text="Actual Use">
      <formula>NOT(ISERROR(SEARCH("Actual Use",N7)))</formula>
    </cfRule>
    <cfRule type="containsText" dxfId="981" priority="15" operator="containsText" text="Labor -">
      <formula>NOT(ISERROR(SEARCH("Labor -",N7)))</formula>
    </cfRule>
  </conditionalFormatting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500-000000000000}">
          <x14:formula1>
            <xm:f>'Apportionment Bases'!$A$6:$A$33</xm:f>
          </x14:formula1>
          <xm:sqref>N7:N12 N16:N23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CP89"/>
  <sheetViews>
    <sheetView showGridLines="0" zoomScale="90" zoomScaleNormal="90" workbookViewId="0">
      <pane xSplit="14" ySplit="5" topLeftCell="Y6" activePane="bottomRight" state="frozen"/>
      <selection activeCell="B37" sqref="B37:L37"/>
      <selection pane="topRight" activeCell="B37" sqref="B37:L37"/>
      <selection pane="bottomLeft" activeCell="B37" sqref="B37:L37"/>
      <selection pane="bottomRight" activeCell="L7" sqref="L7:L83"/>
    </sheetView>
  </sheetViews>
  <sheetFormatPr defaultRowHeight="15" outlineLevelCol="1" x14ac:dyDescent="0.25"/>
  <cols>
    <col min="1" max="1" width="3.7109375" style="3" bestFit="1" customWidth="1"/>
    <col min="2" max="2" width="13.28515625" style="3" bestFit="1" customWidth="1"/>
    <col min="3" max="3" width="5.28515625" style="3" hidden="1" customWidth="1" outlineLevel="1"/>
    <col min="4" max="4" width="4.7109375" style="3" hidden="1" customWidth="1" outlineLevel="1"/>
    <col min="5" max="5" width="4" style="3" hidden="1" customWidth="1" outlineLevel="1"/>
    <col min="6" max="6" width="17.42578125" style="3" hidden="1" customWidth="1" outlineLevel="1"/>
    <col min="7" max="7" width="44" bestFit="1" customWidth="1" collapsed="1"/>
    <col min="8" max="10" width="11.5703125" hidden="1" customWidth="1" outlineLevel="1"/>
    <col min="11" max="11" width="12.7109375" hidden="1" customWidth="1" outlineLevel="1"/>
    <col min="12" max="12" width="12.140625" style="12" bestFit="1" customWidth="1" collapsed="1"/>
    <col min="13" max="13" width="3.5703125" customWidth="1"/>
    <col min="14" max="14" width="27" bestFit="1" customWidth="1"/>
    <col min="15" max="15" width="3.28515625" customWidth="1"/>
    <col min="16" max="16" width="6.85546875" bestFit="1" customWidth="1"/>
    <col min="17" max="18" width="8.140625" bestFit="1" customWidth="1"/>
    <col min="19" max="19" width="8.7109375" bestFit="1" customWidth="1"/>
    <col min="20" max="20" width="9.28515625" bestFit="1" customWidth="1"/>
    <col min="21" max="21" width="3.140625" customWidth="1"/>
    <col min="22" max="22" width="6.28515625" bestFit="1" customWidth="1"/>
    <col min="23" max="23" width="12.28515625" bestFit="1" customWidth="1"/>
    <col min="24" max="24" width="10.7109375" bestFit="1" customWidth="1"/>
    <col min="25" max="25" width="8.28515625" bestFit="1" customWidth="1"/>
    <col min="26" max="26" width="12.28515625" bestFit="1" customWidth="1"/>
    <col min="27" max="27" width="6.28515625" customWidth="1"/>
    <col min="28" max="28" width="7.5703125" bestFit="1" customWidth="1"/>
    <col min="29" max="29" width="6.28515625" bestFit="1" customWidth="1"/>
    <col min="30" max="30" width="7.42578125" bestFit="1" customWidth="1"/>
    <col min="31" max="31" width="7" bestFit="1" customWidth="1"/>
    <col min="32" max="32" width="8.28515625" bestFit="1" customWidth="1"/>
    <col min="33" max="33" width="9.42578125" bestFit="1" customWidth="1"/>
    <col min="34" max="34" width="2" customWidth="1"/>
    <col min="35" max="39" width="0" hidden="1" customWidth="1"/>
    <col min="40" max="40" width="3.42578125" hidden="1" customWidth="1"/>
    <col min="41" max="41" width="6.85546875" bestFit="1" customWidth="1"/>
    <col min="42" max="42" width="7.85546875" bestFit="1" customWidth="1"/>
    <col min="43" max="43" width="6.85546875" bestFit="1" customWidth="1"/>
    <col min="44" max="44" width="8.7109375" bestFit="1" customWidth="1"/>
    <col min="45" max="45" width="10.5703125" bestFit="1" customWidth="1"/>
    <col min="46" max="46" width="2" customWidth="1"/>
    <col min="47" max="47" width="6.85546875" bestFit="1" customWidth="1"/>
    <col min="48" max="49" width="10.5703125" bestFit="1" customWidth="1"/>
    <col min="50" max="50" width="8.7109375" bestFit="1" customWidth="1"/>
    <col min="51" max="51" width="10.5703125" bestFit="1" customWidth="1"/>
    <col min="52" max="52" width="2" customWidth="1"/>
    <col min="53" max="53" width="6.85546875" hidden="1" customWidth="1"/>
    <col min="54" max="54" width="7.85546875" hidden="1" customWidth="1"/>
    <col min="55" max="55" width="10" hidden="1" customWidth="1"/>
    <col min="56" max="56" width="8.7109375" hidden="1" customWidth="1"/>
    <col min="57" max="57" width="9.7109375" hidden="1" customWidth="1"/>
    <col min="58" max="58" width="3.7109375" hidden="1" customWidth="1"/>
    <col min="59" max="63" width="0" hidden="1" customWidth="1"/>
    <col min="64" max="64" width="3.42578125" hidden="1" customWidth="1"/>
    <col min="65" max="69" width="0" hidden="1" customWidth="1"/>
    <col min="70" max="70" width="3.28515625" hidden="1" customWidth="1"/>
    <col min="71" max="75" width="0" hidden="1" customWidth="1"/>
    <col min="76" max="76" width="2.7109375" hidden="1" customWidth="1"/>
    <col min="77" max="81" width="0" hidden="1" customWidth="1"/>
    <col min="82" max="82" width="3.42578125" hidden="1" customWidth="1"/>
    <col min="83" max="83" width="6.85546875" bestFit="1" customWidth="1"/>
    <col min="84" max="84" width="9.5703125" bestFit="1" customWidth="1"/>
    <col min="85" max="85" width="7.28515625" bestFit="1" customWidth="1"/>
    <col min="86" max="86" width="8.7109375" bestFit="1" customWidth="1"/>
    <col min="87" max="87" width="9.7109375" bestFit="1" customWidth="1"/>
    <col min="88" max="88" width="2" customWidth="1"/>
    <col min="89" max="89" width="6.85546875" bestFit="1" customWidth="1"/>
    <col min="90" max="90" width="12.140625" bestFit="1" customWidth="1"/>
    <col min="91" max="91" width="7.28515625" bestFit="1" customWidth="1"/>
    <col min="92" max="92" width="8.7109375" bestFit="1" customWidth="1"/>
    <col min="93" max="93" width="10.5703125" bestFit="1" customWidth="1"/>
    <col min="94" max="94" width="2" customWidth="1"/>
  </cols>
  <sheetData>
    <row r="1" spans="1:94" ht="23.25" x14ac:dyDescent="0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U1" s="11"/>
      <c r="AA1" s="47"/>
      <c r="AG1" s="43"/>
      <c r="AH1" s="43"/>
      <c r="BM1" s="76"/>
      <c r="BN1" s="76"/>
      <c r="BO1" s="76"/>
      <c r="BP1" s="76"/>
      <c r="CI1" s="85"/>
      <c r="CJ1" s="85"/>
    </row>
    <row r="2" spans="1:94" ht="23.25" x14ac:dyDescent="0.25">
      <c r="A2" s="752" t="s">
        <v>304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U2" s="11"/>
      <c r="AA2" s="47"/>
      <c r="AG2" s="43"/>
      <c r="AH2" s="43"/>
      <c r="BM2" s="76"/>
      <c r="BN2" s="76"/>
      <c r="BO2" s="76"/>
      <c r="BP2" s="76"/>
      <c r="CI2" s="85"/>
      <c r="CJ2" s="85"/>
    </row>
    <row r="3" spans="1:94" ht="9" customHeight="1" x14ac:dyDescent="0.25">
      <c r="A3" s="158"/>
      <c r="B3" s="158"/>
      <c r="C3" s="158"/>
      <c r="D3" s="158"/>
      <c r="E3" s="158"/>
      <c r="F3" s="158"/>
      <c r="G3" s="158"/>
      <c r="H3" s="1"/>
      <c r="I3" s="1"/>
      <c r="J3" s="1"/>
      <c r="K3" s="1"/>
      <c r="L3" s="1"/>
      <c r="N3" s="2"/>
      <c r="U3" s="11"/>
      <c r="AA3" s="47"/>
      <c r="AG3" s="43"/>
      <c r="AH3" s="300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5"/>
      <c r="BN3" s="305"/>
      <c r="BO3" s="305"/>
      <c r="BP3" s="305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0"/>
      <c r="CJ3" s="300"/>
      <c r="CK3" s="301"/>
      <c r="CL3" s="301"/>
      <c r="CM3" s="301"/>
      <c r="CN3" s="301"/>
      <c r="CO3" s="301"/>
      <c r="CP3" s="301"/>
    </row>
    <row r="4" spans="1:94" ht="24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2"/>
      <c r="P4" s="759" t="s">
        <v>2</v>
      </c>
      <c r="Q4" s="759"/>
      <c r="R4" s="759"/>
      <c r="S4" s="759"/>
      <c r="T4" s="759"/>
      <c r="U4" s="11"/>
      <c r="V4" s="759" t="s">
        <v>184</v>
      </c>
      <c r="W4" s="759"/>
      <c r="X4" s="759"/>
      <c r="Y4" s="759"/>
      <c r="Z4" s="759"/>
      <c r="AA4" s="47"/>
      <c r="AB4" s="759" t="s">
        <v>248</v>
      </c>
      <c r="AC4" s="759"/>
      <c r="AD4" s="759"/>
      <c r="AE4" s="759"/>
      <c r="AF4" s="759"/>
      <c r="AG4" s="759"/>
      <c r="AH4" s="300"/>
      <c r="AI4" s="759" t="s">
        <v>162</v>
      </c>
      <c r="AJ4" s="759"/>
      <c r="AK4" s="759"/>
      <c r="AL4" s="759"/>
      <c r="AM4" s="759"/>
      <c r="AO4" s="762" t="s">
        <v>163</v>
      </c>
      <c r="AP4" s="762"/>
      <c r="AQ4" s="762"/>
      <c r="AR4" s="762"/>
      <c r="AS4" s="762"/>
      <c r="AT4" s="300"/>
      <c r="AU4" s="762" t="s">
        <v>164</v>
      </c>
      <c r="AV4" s="762"/>
      <c r="AW4" s="762"/>
      <c r="AX4" s="762"/>
      <c r="AY4" s="762"/>
      <c r="AZ4" s="300"/>
      <c r="BA4" s="763" t="s">
        <v>165</v>
      </c>
      <c r="BB4" s="763"/>
      <c r="BC4" s="763"/>
      <c r="BD4" s="763"/>
      <c r="BE4" s="764"/>
      <c r="BG4" s="759" t="s">
        <v>171</v>
      </c>
      <c r="BH4" s="759"/>
      <c r="BI4" s="759"/>
      <c r="BJ4" s="759"/>
      <c r="BK4" s="759"/>
      <c r="BM4" s="759" t="s">
        <v>173</v>
      </c>
      <c r="BN4" s="759"/>
      <c r="BO4" s="759"/>
      <c r="BP4" s="759"/>
      <c r="BQ4" s="759"/>
      <c r="BS4" s="759" t="s">
        <v>175</v>
      </c>
      <c r="BT4" s="759"/>
      <c r="BU4" s="759"/>
      <c r="BV4" s="759"/>
      <c r="BW4" s="759"/>
      <c r="BY4" s="759" t="s">
        <v>177</v>
      </c>
      <c r="BZ4" s="759"/>
      <c r="CA4" s="759"/>
      <c r="CB4" s="759"/>
      <c r="CC4" s="759"/>
      <c r="CE4" s="762" t="s">
        <v>178</v>
      </c>
      <c r="CF4" s="762"/>
      <c r="CG4" s="762"/>
      <c r="CH4" s="762"/>
      <c r="CI4" s="762"/>
      <c r="CJ4" s="300"/>
      <c r="CK4" s="762" t="s">
        <v>181</v>
      </c>
      <c r="CL4" s="762"/>
      <c r="CM4" s="762"/>
      <c r="CN4" s="762"/>
      <c r="CO4" s="762"/>
      <c r="CP4" s="301"/>
    </row>
    <row r="5" spans="1:94" s="12" customFormat="1" ht="16.5" thickTop="1" thickBot="1" x14ac:dyDescent="0.3">
      <c r="A5" s="32" t="s">
        <v>36</v>
      </c>
      <c r="B5" s="32" t="s">
        <v>37</v>
      </c>
      <c r="C5" s="32" t="s">
        <v>38</v>
      </c>
      <c r="D5" s="32" t="s">
        <v>39</v>
      </c>
      <c r="E5" s="32" t="s">
        <v>40</v>
      </c>
      <c r="F5" s="32" t="s">
        <v>41</v>
      </c>
      <c r="G5" s="32" t="s">
        <v>42</v>
      </c>
      <c r="H5" s="214">
        <v>43101</v>
      </c>
      <c r="I5" s="214">
        <v>43191</v>
      </c>
      <c r="J5" s="214">
        <v>43282</v>
      </c>
      <c r="K5" s="214">
        <v>43374</v>
      </c>
      <c r="L5" s="32" t="s">
        <v>43</v>
      </c>
      <c r="N5" s="322" t="s">
        <v>694</v>
      </c>
      <c r="O5" s="215"/>
      <c r="P5" s="221" t="s">
        <v>4</v>
      </c>
      <c r="Q5" s="216" t="s">
        <v>3</v>
      </c>
      <c r="R5" s="225" t="s">
        <v>32</v>
      </c>
      <c r="S5" s="224" t="s">
        <v>6</v>
      </c>
      <c r="T5" s="217" t="s">
        <v>5</v>
      </c>
      <c r="V5" s="221" t="s">
        <v>4</v>
      </c>
      <c r="W5" s="216" t="s">
        <v>3</v>
      </c>
      <c r="X5" s="225" t="s">
        <v>32</v>
      </c>
      <c r="Y5" s="224" t="s">
        <v>6</v>
      </c>
      <c r="Z5" s="217" t="s">
        <v>5</v>
      </c>
      <c r="AA5" s="213" t="s">
        <v>185</v>
      </c>
      <c r="AB5" s="219"/>
      <c r="AC5" s="221" t="s">
        <v>4</v>
      </c>
      <c r="AD5" s="216" t="s">
        <v>3</v>
      </c>
      <c r="AE5" s="225" t="s">
        <v>32</v>
      </c>
      <c r="AF5" s="224" t="s">
        <v>6</v>
      </c>
      <c r="AG5" s="217" t="s">
        <v>5</v>
      </c>
      <c r="AH5" s="308"/>
      <c r="AI5" s="216" t="s">
        <v>4</v>
      </c>
      <c r="AJ5" s="216" t="s">
        <v>3</v>
      </c>
      <c r="AK5" s="216" t="s">
        <v>32</v>
      </c>
      <c r="AL5" s="217" t="s">
        <v>6</v>
      </c>
      <c r="AM5" s="217" t="s">
        <v>5</v>
      </c>
      <c r="AN5" s="215"/>
      <c r="AO5" s="221" t="s">
        <v>4</v>
      </c>
      <c r="AP5" s="216" t="s">
        <v>3</v>
      </c>
      <c r="AQ5" s="225" t="s">
        <v>32</v>
      </c>
      <c r="AR5" s="224" t="s">
        <v>6</v>
      </c>
      <c r="AS5" s="217" t="s">
        <v>5</v>
      </c>
      <c r="AT5" s="338"/>
      <c r="AU5" s="221" t="s">
        <v>4</v>
      </c>
      <c r="AV5" s="216" t="s">
        <v>3</v>
      </c>
      <c r="AW5" s="225" t="s">
        <v>32</v>
      </c>
      <c r="AX5" s="224" t="s">
        <v>6</v>
      </c>
      <c r="AY5" s="217" t="s">
        <v>5</v>
      </c>
      <c r="AZ5" s="317"/>
      <c r="BA5" s="222" t="s">
        <v>4</v>
      </c>
      <c r="BB5" s="216" t="s">
        <v>3</v>
      </c>
      <c r="BC5" s="216" t="s">
        <v>32</v>
      </c>
      <c r="BD5" s="217" t="s">
        <v>6</v>
      </c>
      <c r="BE5" s="223" t="s">
        <v>5</v>
      </c>
      <c r="BF5" s="215"/>
      <c r="BG5" s="216" t="s">
        <v>4</v>
      </c>
      <c r="BH5" s="216" t="s">
        <v>3</v>
      </c>
      <c r="BI5" s="216" t="s">
        <v>32</v>
      </c>
      <c r="BJ5" s="217" t="s">
        <v>6</v>
      </c>
      <c r="BK5" s="217" t="s">
        <v>5</v>
      </c>
      <c r="BL5" s="215"/>
      <c r="BM5" s="216" t="s">
        <v>4</v>
      </c>
      <c r="BN5" s="216" t="s">
        <v>3</v>
      </c>
      <c r="BO5" s="216" t="s">
        <v>32</v>
      </c>
      <c r="BP5" s="217" t="s">
        <v>6</v>
      </c>
      <c r="BQ5" s="217" t="s">
        <v>5</v>
      </c>
      <c r="BR5" s="215"/>
      <c r="BS5" s="216" t="s">
        <v>4</v>
      </c>
      <c r="BT5" s="216" t="s">
        <v>3</v>
      </c>
      <c r="BU5" s="216" t="s">
        <v>32</v>
      </c>
      <c r="BV5" s="217" t="s">
        <v>6</v>
      </c>
      <c r="BW5" s="217" t="s">
        <v>5</v>
      </c>
      <c r="BX5" s="215"/>
      <c r="BY5" s="216" t="s">
        <v>4</v>
      </c>
      <c r="BZ5" s="216" t="s">
        <v>3</v>
      </c>
      <c r="CA5" s="216" t="s">
        <v>32</v>
      </c>
      <c r="CB5" s="217" t="s">
        <v>6</v>
      </c>
      <c r="CC5" s="217" t="s">
        <v>5</v>
      </c>
      <c r="CD5" s="215"/>
      <c r="CE5" s="221" t="s">
        <v>4</v>
      </c>
      <c r="CF5" s="216" t="s">
        <v>3</v>
      </c>
      <c r="CG5" s="225" t="s">
        <v>32</v>
      </c>
      <c r="CH5" s="224" t="s">
        <v>6</v>
      </c>
      <c r="CI5" s="217" t="s">
        <v>5</v>
      </c>
      <c r="CJ5" s="338"/>
      <c r="CK5" s="221" t="s">
        <v>4</v>
      </c>
      <c r="CL5" s="216" t="s">
        <v>3</v>
      </c>
      <c r="CM5" s="225" t="s">
        <v>32</v>
      </c>
      <c r="CN5" s="224" t="s">
        <v>6</v>
      </c>
      <c r="CO5" s="217" t="s">
        <v>5</v>
      </c>
      <c r="CP5" s="302"/>
    </row>
    <row r="6" spans="1:94" ht="15.75" thickBot="1" x14ac:dyDescent="0.3">
      <c r="A6" s="761" t="s">
        <v>44</v>
      </c>
      <c r="B6" s="761"/>
      <c r="C6" s="761"/>
      <c r="D6" s="761"/>
      <c r="E6" s="761"/>
      <c r="F6" s="761"/>
      <c r="G6" s="761"/>
      <c r="H6" s="15"/>
      <c r="I6" s="15"/>
      <c r="J6" s="15"/>
      <c r="K6" s="15"/>
      <c r="L6" s="33"/>
      <c r="M6" s="33"/>
      <c r="N6" s="33"/>
      <c r="O6" s="64"/>
      <c r="P6" s="64"/>
      <c r="Q6" s="64"/>
      <c r="R6" s="64"/>
      <c r="S6" s="64"/>
      <c r="T6" s="95"/>
      <c r="U6" s="9"/>
      <c r="V6" s="95"/>
      <c r="W6" s="64"/>
      <c r="X6" s="64"/>
      <c r="Y6" s="64"/>
      <c r="Z6" s="64"/>
      <c r="AA6" s="49"/>
      <c r="AB6" s="64"/>
      <c r="AC6" s="64"/>
      <c r="AD6" s="64"/>
      <c r="AE6" s="64"/>
      <c r="AF6" s="64"/>
      <c r="AG6" s="64"/>
      <c r="AH6" s="309"/>
      <c r="AI6" s="64"/>
      <c r="AJ6" s="64"/>
      <c r="AK6" s="64"/>
      <c r="AL6" s="64"/>
      <c r="AM6" s="64"/>
      <c r="AN6" s="64"/>
      <c r="AO6" s="159"/>
      <c r="AP6" s="77"/>
      <c r="AQ6" s="77"/>
      <c r="AR6" s="77"/>
      <c r="AS6" s="77"/>
      <c r="AT6" s="341"/>
      <c r="AU6" s="159"/>
      <c r="AV6" s="77"/>
      <c r="AW6" s="77"/>
      <c r="AX6" s="77"/>
      <c r="AY6" s="77"/>
      <c r="AZ6" s="341"/>
      <c r="BA6" s="159"/>
      <c r="BB6" s="77"/>
      <c r="BC6" s="77"/>
      <c r="BD6" s="77"/>
      <c r="BE6" s="78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159"/>
      <c r="CF6" s="77"/>
      <c r="CG6" s="77"/>
      <c r="CH6" s="77"/>
      <c r="CI6" s="77"/>
      <c r="CJ6" s="341"/>
      <c r="CK6" s="77"/>
      <c r="CL6" s="77"/>
      <c r="CM6" s="77"/>
      <c r="CN6" s="77"/>
      <c r="CO6" s="77"/>
      <c r="CP6" s="301"/>
    </row>
    <row r="7" spans="1:94" x14ac:dyDescent="0.25">
      <c r="A7" s="3" t="s">
        <v>243</v>
      </c>
      <c r="B7" s="3" t="s">
        <v>46</v>
      </c>
      <c r="C7" s="3" t="s">
        <v>47</v>
      </c>
      <c r="D7" s="3" t="s">
        <v>48</v>
      </c>
      <c r="E7" s="3" t="s">
        <v>48</v>
      </c>
      <c r="F7" s="3" t="s">
        <v>305</v>
      </c>
      <c r="G7" t="s">
        <v>49</v>
      </c>
      <c r="H7" s="67">
        <f t="shared" ref="H7:K19" si="0">$L7/4</f>
        <v>174339.5</v>
      </c>
      <c r="I7" s="67">
        <f t="shared" si="0"/>
        <v>174339.5</v>
      </c>
      <c r="J7" s="67">
        <f t="shared" si="0"/>
        <v>174339.5</v>
      </c>
      <c r="K7" s="67">
        <f>$L7/4</f>
        <v>174339.5</v>
      </c>
      <c r="L7" s="705">
        <v>697358</v>
      </c>
      <c r="N7" s="206" t="s">
        <v>477</v>
      </c>
      <c r="P7" s="66"/>
      <c r="Q7" s="195">
        <f>INDEX('Apportionment Bases'!AF$6:AF$33,MATCH($N7,'Apportionment Bases'!$A$6:$A$33,0))</f>
        <v>0.625</v>
      </c>
      <c r="R7" s="195">
        <f>INDEX('Apportionment Bases'!AG$6:AG$33,MATCH($N7,'Apportionment Bases'!$A$6:$A$33,0))</f>
        <v>0.13</v>
      </c>
      <c r="S7" s="199"/>
      <c r="T7" s="195">
        <f>INDEX('Apportionment Bases'!AI$6:AI$33,MATCH($N7,'Apportionment Bases'!$A$6:$A$33,0))</f>
        <v>0.245</v>
      </c>
      <c r="V7" s="66"/>
      <c r="W7" s="72">
        <f>$L7*Q7</f>
        <v>435848.75</v>
      </c>
      <c r="X7" s="72">
        <f>$L7*R7</f>
        <v>90656.540000000008</v>
      </c>
      <c r="Y7" s="66"/>
      <c r="Z7" s="72">
        <f>$L7*T7</f>
        <v>170852.71</v>
      </c>
      <c r="AA7" s="266" t="str">
        <f>IF(SUM(V7:Z7)=L7,"TRUE","FALSE")</f>
        <v>TRUE</v>
      </c>
      <c r="AB7" s="59" t="s">
        <v>163</v>
      </c>
      <c r="AC7" s="66"/>
      <c r="AD7" s="693">
        <f>'Apportionment Assumptions'!X8</f>
        <v>0</v>
      </c>
      <c r="AE7" s="691">
        <f>'Apportionment Assumptions'!Y8</f>
        <v>0</v>
      </c>
      <c r="AF7" s="692"/>
      <c r="AG7" s="691">
        <f>'Apportionment Assumptions'!AA8</f>
        <v>0.29199999999999998</v>
      </c>
      <c r="AH7" s="301"/>
      <c r="AO7" s="79"/>
      <c r="AP7" s="44">
        <f t="shared" ref="AP7:AP19" si="1">$AD$7*W7</f>
        <v>0</v>
      </c>
      <c r="AQ7" s="44">
        <f t="shared" ref="AQ7:AQ19" si="2">$AE$7*X7</f>
        <v>0</v>
      </c>
      <c r="AR7" s="81"/>
      <c r="AS7" s="72">
        <f t="shared" ref="AS7:AS19" si="3">$AG$7*Z7</f>
        <v>49888.991319999994</v>
      </c>
      <c r="AT7" s="301"/>
      <c r="AU7" s="79"/>
      <c r="AV7" s="72">
        <f t="shared" ref="AV7:AV19" si="4">$AD$8*W7</f>
        <v>182079.67111730011</v>
      </c>
      <c r="AW7" s="72">
        <f t="shared" ref="AW7:AW19" si="5">$AE$8*X7</f>
        <v>90656.540000000008</v>
      </c>
      <c r="AX7" s="81"/>
      <c r="AY7" s="72">
        <f t="shared" ref="AY7:AY19" si="6">$AG$8*Z7</f>
        <v>51084.960289999995</v>
      </c>
      <c r="AZ7" s="301"/>
      <c r="BA7" s="79"/>
      <c r="BB7" s="72"/>
      <c r="BC7" s="72"/>
      <c r="BD7" s="81"/>
      <c r="BE7" s="72"/>
      <c r="CE7" s="79"/>
      <c r="CF7" s="72">
        <f t="shared" ref="CF7:CF19" si="7">$AD$10*W7</f>
        <v>7140.3792595019659</v>
      </c>
      <c r="CG7" s="72">
        <f t="shared" ref="CG7:CG19" si="8">$AE$10*X7</f>
        <v>0</v>
      </c>
      <c r="CH7" s="81"/>
      <c r="CI7" s="72">
        <f t="shared" ref="CI7:CI19" si="9">$AG$10*Z7</f>
        <v>5125.5812999999998</v>
      </c>
      <c r="CJ7" s="301"/>
      <c r="CK7" s="79"/>
      <c r="CL7" s="72">
        <f t="shared" ref="CL7:CL19" si="10">$AD$11*W7</f>
        <v>246628.6996231979</v>
      </c>
      <c r="CM7" s="72">
        <f t="shared" ref="CM7:CM19" si="11">$AE$11*X7</f>
        <v>0</v>
      </c>
      <c r="CN7" s="81"/>
      <c r="CO7" s="72">
        <f t="shared" ref="CO7:CO19" si="12">$AG$11*Z7</f>
        <v>64753.177089999997</v>
      </c>
      <c r="CP7" s="301"/>
    </row>
    <row r="8" spans="1:94" x14ac:dyDescent="0.25">
      <c r="A8" s="3" t="s">
        <v>243</v>
      </c>
      <c r="B8" s="3" t="s">
        <v>46</v>
      </c>
      <c r="C8" s="3" t="s">
        <v>45</v>
      </c>
      <c r="D8" s="3" t="s">
        <v>48</v>
      </c>
      <c r="E8" s="3" t="s">
        <v>48</v>
      </c>
      <c r="F8" s="3" t="s">
        <v>306</v>
      </c>
      <c r="G8" t="s">
        <v>49</v>
      </c>
      <c r="H8" s="67">
        <f t="shared" si="0"/>
        <v>37488</v>
      </c>
      <c r="I8" s="67">
        <f t="shared" si="0"/>
        <v>37488</v>
      </c>
      <c r="J8" s="67">
        <f t="shared" si="0"/>
        <v>37488</v>
      </c>
      <c r="K8" s="67">
        <f>$L8/4</f>
        <v>37488</v>
      </c>
      <c r="L8" s="705">
        <v>149952</v>
      </c>
      <c r="N8" s="206" t="s">
        <v>478</v>
      </c>
      <c r="P8" s="66"/>
      <c r="Q8" s="195">
        <f>INDEX('Apportionment Bases'!AF$6:AF$33,MATCH($N8,'Apportionment Bases'!$A$6:$A$33,0))</f>
        <v>0.54300000000000004</v>
      </c>
      <c r="R8" s="195">
        <f>INDEX('Apportionment Bases'!AG$6:AG$33,MATCH($N8,'Apportionment Bases'!$A$6:$A$33,0))</f>
        <v>0.22800000000000001</v>
      </c>
      <c r="S8" s="199"/>
      <c r="T8" s="195">
        <f>INDEX('Apportionment Bases'!AI$6:AI$33,MATCH($N8,'Apportionment Bases'!$A$6:$A$33,0))</f>
        <v>0.22900000000000001</v>
      </c>
      <c r="V8" s="66"/>
      <c r="W8" s="72">
        <f t="shared" ref="W8:W80" si="13">$L8*Q8</f>
        <v>81423.936000000002</v>
      </c>
      <c r="X8" s="72">
        <f t="shared" ref="X8:X19" si="14">$L8*R8</f>
        <v>34189.056000000004</v>
      </c>
      <c r="Y8" s="66"/>
      <c r="Z8" s="72">
        <f>$L8*T8</f>
        <v>34339.008000000002</v>
      </c>
      <c r="AA8" s="266" t="str">
        <f t="shared" ref="AA8:AA18" si="15">IF(SUM(V8:Z8)=L8,"TRUE","FALSE")</f>
        <v>TRUE</v>
      </c>
      <c r="AB8" s="59" t="s">
        <v>164</v>
      </c>
      <c r="AC8" s="66"/>
      <c r="AD8" s="693">
        <f>'Apportionment Assumptions'!X9</f>
        <v>0.41775884665792917</v>
      </c>
      <c r="AE8" s="691">
        <f>'Apportionment Assumptions'!Y9</f>
        <v>1</v>
      </c>
      <c r="AF8" s="692"/>
      <c r="AG8" s="691">
        <f>'Apportionment Assumptions'!AA9</f>
        <v>0.29899999999999999</v>
      </c>
      <c r="AH8" s="301"/>
      <c r="AO8" s="79"/>
      <c r="AP8" s="44">
        <f t="shared" si="1"/>
        <v>0</v>
      </c>
      <c r="AQ8" s="44">
        <f t="shared" si="2"/>
        <v>0</v>
      </c>
      <c r="AR8" s="81"/>
      <c r="AS8" s="72">
        <f t="shared" si="3"/>
        <v>10026.990336000001</v>
      </c>
      <c r="AT8" s="301"/>
      <c r="AU8" s="79"/>
      <c r="AV8" s="72">
        <f t="shared" si="4"/>
        <v>34015.569593709042</v>
      </c>
      <c r="AW8" s="72">
        <f t="shared" si="5"/>
        <v>34189.056000000004</v>
      </c>
      <c r="AX8" s="81"/>
      <c r="AY8" s="72">
        <f t="shared" si="6"/>
        <v>10267.363391999999</v>
      </c>
      <c r="AZ8" s="301"/>
      <c r="BA8" s="79"/>
      <c r="BB8" s="72"/>
      <c r="BC8" s="72"/>
      <c r="BD8" s="81"/>
      <c r="BE8" s="72"/>
      <c r="CE8" s="79"/>
      <c r="CF8" s="72">
        <f t="shared" si="7"/>
        <v>1333.9439056356487</v>
      </c>
      <c r="CG8" s="72">
        <f t="shared" si="8"/>
        <v>0</v>
      </c>
      <c r="CH8" s="81"/>
      <c r="CI8" s="72">
        <f t="shared" si="9"/>
        <v>1030.1702399999999</v>
      </c>
      <c r="CJ8" s="301"/>
      <c r="CK8" s="79"/>
      <c r="CL8" s="72">
        <f t="shared" si="10"/>
        <v>46074.42250065531</v>
      </c>
      <c r="CM8" s="72">
        <f t="shared" si="11"/>
        <v>0</v>
      </c>
      <c r="CN8" s="81"/>
      <c r="CO8" s="72">
        <f t="shared" si="12"/>
        <v>13014.484032</v>
      </c>
      <c r="CP8" s="301"/>
    </row>
    <row r="9" spans="1:94" x14ac:dyDescent="0.25">
      <c r="A9" s="3" t="s">
        <v>243</v>
      </c>
      <c r="B9" s="3" t="s">
        <v>50</v>
      </c>
      <c r="C9" s="3" t="s">
        <v>47</v>
      </c>
      <c r="D9" s="3" t="s">
        <v>48</v>
      </c>
      <c r="E9" s="3" t="s">
        <v>48</v>
      </c>
      <c r="F9" s="3" t="s">
        <v>307</v>
      </c>
      <c r="G9" t="s">
        <v>51</v>
      </c>
      <c r="H9" s="67">
        <f t="shared" si="0"/>
        <v>2730.25</v>
      </c>
      <c r="I9" s="67">
        <f t="shared" si="0"/>
        <v>2730.25</v>
      </c>
      <c r="J9" s="67">
        <f t="shared" si="0"/>
        <v>2730.25</v>
      </c>
      <c r="K9" s="67">
        <f t="shared" si="0"/>
        <v>2730.25</v>
      </c>
      <c r="L9" s="705">
        <v>10921</v>
      </c>
      <c r="N9" s="206" t="s">
        <v>531</v>
      </c>
      <c r="P9" s="66"/>
      <c r="Q9" s="195">
        <f>INDEX('Apportionment Bases'!AF$6:AF$33,MATCH($N9,'Apportionment Bases'!$A$6:$A$33,0))</f>
        <v>0.625</v>
      </c>
      <c r="R9" s="195">
        <f>INDEX('Apportionment Bases'!AG$6:AG$33,MATCH($N9,'Apportionment Bases'!$A$6:$A$33,0))</f>
        <v>0.13</v>
      </c>
      <c r="S9" s="199"/>
      <c r="T9" s="195">
        <f>INDEX('Apportionment Bases'!AI$6:AI$33,MATCH($N9,'Apportionment Bases'!$A$6:$A$33,0))</f>
        <v>0.245</v>
      </c>
      <c r="V9" s="66"/>
      <c r="W9" s="72">
        <f t="shared" si="13"/>
        <v>6825.625</v>
      </c>
      <c r="X9" s="72">
        <f t="shared" si="14"/>
        <v>1419.73</v>
      </c>
      <c r="Y9" s="66"/>
      <c r="Z9" s="72">
        <f t="shared" ref="Z9:Z19" si="16">$L9*T9</f>
        <v>2675.645</v>
      </c>
      <c r="AA9" s="266" t="str">
        <f t="shared" si="15"/>
        <v>TRUE</v>
      </c>
      <c r="AB9" s="59" t="s">
        <v>165</v>
      </c>
      <c r="AC9" s="66"/>
      <c r="AD9" s="693">
        <f>'Apportionment Assumptions'!X10</f>
        <v>0</v>
      </c>
      <c r="AE9" s="691">
        <f>'Apportionment Assumptions'!Y10</f>
        <v>0</v>
      </c>
      <c r="AF9" s="692"/>
      <c r="AG9" s="691">
        <f>'Apportionment Assumptions'!AA10</f>
        <v>0</v>
      </c>
      <c r="AH9" s="301"/>
      <c r="AO9" s="79"/>
      <c r="AP9" s="44">
        <f t="shared" si="1"/>
        <v>0</v>
      </c>
      <c r="AQ9" s="44">
        <f t="shared" si="2"/>
        <v>0</v>
      </c>
      <c r="AR9" s="81"/>
      <c r="AS9" s="72">
        <f t="shared" si="3"/>
        <v>781.28833999999995</v>
      </c>
      <c r="AT9" s="301"/>
      <c r="AU9" s="79"/>
      <c r="AV9" s="72">
        <f t="shared" si="4"/>
        <v>2851.4652277195278</v>
      </c>
      <c r="AW9" s="72">
        <f t="shared" si="5"/>
        <v>1419.73</v>
      </c>
      <c r="AX9" s="81"/>
      <c r="AY9" s="72">
        <f t="shared" si="6"/>
        <v>800.01785499999994</v>
      </c>
      <c r="AZ9" s="301"/>
      <c r="BA9" s="79"/>
      <c r="BB9" s="72"/>
      <c r="BC9" s="72"/>
      <c r="BD9" s="81"/>
      <c r="BE9" s="72"/>
      <c r="CE9" s="79"/>
      <c r="CF9" s="72">
        <f t="shared" si="7"/>
        <v>111.82216579292268</v>
      </c>
      <c r="CG9" s="72">
        <f t="shared" si="8"/>
        <v>0</v>
      </c>
      <c r="CH9" s="81"/>
      <c r="CI9" s="72">
        <f t="shared" si="9"/>
        <v>80.269350000000003</v>
      </c>
      <c r="CJ9" s="301"/>
      <c r="CK9" s="79"/>
      <c r="CL9" s="72">
        <f t="shared" si="10"/>
        <v>3862.3376064875488</v>
      </c>
      <c r="CM9" s="72">
        <f t="shared" si="11"/>
        <v>0</v>
      </c>
      <c r="CN9" s="81"/>
      <c r="CO9" s="72">
        <f t="shared" si="12"/>
        <v>1014.0694549999999</v>
      </c>
      <c r="CP9" s="301"/>
    </row>
    <row r="10" spans="1:94" x14ac:dyDescent="0.25">
      <c r="A10" s="3" t="s">
        <v>243</v>
      </c>
      <c r="B10" s="3" t="s">
        <v>50</v>
      </c>
      <c r="C10" s="3" t="s">
        <v>45</v>
      </c>
      <c r="D10" s="3" t="s">
        <v>48</v>
      </c>
      <c r="E10" s="3" t="s">
        <v>48</v>
      </c>
      <c r="F10" s="3" t="s">
        <v>308</v>
      </c>
      <c r="G10" t="s">
        <v>51</v>
      </c>
      <c r="H10" s="67">
        <f t="shared" si="0"/>
        <v>50</v>
      </c>
      <c r="I10" s="67">
        <f t="shared" si="0"/>
        <v>50</v>
      </c>
      <c r="J10" s="67">
        <f t="shared" si="0"/>
        <v>50</v>
      </c>
      <c r="K10" s="67">
        <f t="shared" si="0"/>
        <v>50</v>
      </c>
      <c r="L10" s="705">
        <v>200</v>
      </c>
      <c r="N10" s="206" t="s">
        <v>532</v>
      </c>
      <c r="P10" s="66"/>
      <c r="Q10" s="195">
        <f>INDEX('Apportionment Bases'!AF$6:AF$33,MATCH($N10,'Apportionment Bases'!$A$6:$A$33,0))</f>
        <v>0.54300000000000004</v>
      </c>
      <c r="R10" s="195">
        <f>INDEX('Apportionment Bases'!AG$6:AG$33,MATCH($N10,'Apportionment Bases'!$A$6:$A$33,0))</f>
        <v>0.22800000000000001</v>
      </c>
      <c r="S10" s="199"/>
      <c r="T10" s="195">
        <f>INDEX('Apportionment Bases'!AI$6:AI$33,MATCH($N10,'Apportionment Bases'!$A$6:$A$33,0))</f>
        <v>0.22900000000000001</v>
      </c>
      <c r="V10" s="66"/>
      <c r="W10" s="72">
        <f t="shared" si="13"/>
        <v>108.60000000000001</v>
      </c>
      <c r="X10" s="72">
        <f t="shared" si="14"/>
        <v>45.6</v>
      </c>
      <c r="Y10" s="66"/>
      <c r="Z10" s="72">
        <f t="shared" si="16"/>
        <v>45.800000000000004</v>
      </c>
      <c r="AA10" s="266" t="str">
        <f t="shared" si="15"/>
        <v>TRUE</v>
      </c>
      <c r="AB10" s="59" t="s">
        <v>178</v>
      </c>
      <c r="AC10" s="66"/>
      <c r="AD10" s="693">
        <f>'Apportionment Assumptions'!X15</f>
        <v>1.6382699868938401E-2</v>
      </c>
      <c r="AE10" s="691">
        <f>'Apportionment Assumptions'!Y15</f>
        <v>0</v>
      </c>
      <c r="AF10" s="692"/>
      <c r="AG10" s="691">
        <f>'Apportionment Assumptions'!AA15</f>
        <v>0.03</v>
      </c>
      <c r="AH10" s="301"/>
      <c r="AO10" s="79"/>
      <c r="AP10" s="44">
        <f t="shared" si="1"/>
        <v>0</v>
      </c>
      <c r="AQ10" s="44">
        <f t="shared" si="2"/>
        <v>0</v>
      </c>
      <c r="AR10" s="81"/>
      <c r="AS10" s="72">
        <f t="shared" si="3"/>
        <v>13.3736</v>
      </c>
      <c r="AT10" s="301"/>
      <c r="AU10" s="79"/>
      <c r="AV10" s="72">
        <f t="shared" si="4"/>
        <v>45.368610747051115</v>
      </c>
      <c r="AW10" s="72">
        <f t="shared" si="5"/>
        <v>45.6</v>
      </c>
      <c r="AX10" s="81"/>
      <c r="AY10" s="72">
        <f t="shared" si="6"/>
        <v>13.6942</v>
      </c>
      <c r="AZ10" s="301"/>
      <c r="BA10" s="79"/>
      <c r="BB10" s="72"/>
      <c r="BC10" s="72"/>
      <c r="BD10" s="81"/>
      <c r="BE10" s="72"/>
      <c r="CE10" s="79"/>
      <c r="CF10" s="72">
        <f t="shared" si="7"/>
        <v>1.7791612057667106</v>
      </c>
      <c r="CG10" s="72">
        <f t="shared" si="8"/>
        <v>0</v>
      </c>
      <c r="CH10" s="81"/>
      <c r="CI10" s="72">
        <f t="shared" si="9"/>
        <v>1.3740000000000001</v>
      </c>
      <c r="CJ10" s="301"/>
      <c r="CK10" s="79"/>
      <c r="CL10" s="72">
        <f t="shared" si="10"/>
        <v>61.452228047182182</v>
      </c>
      <c r="CM10" s="72">
        <f t="shared" si="11"/>
        <v>0</v>
      </c>
      <c r="CN10" s="81"/>
      <c r="CO10" s="72">
        <f t="shared" si="12"/>
        <v>17.3582</v>
      </c>
      <c r="CP10" s="301"/>
    </row>
    <row r="11" spans="1:94" x14ac:dyDescent="0.25">
      <c r="A11" s="3" t="s">
        <v>243</v>
      </c>
      <c r="B11" s="3" t="s">
        <v>52</v>
      </c>
      <c r="C11" s="3" t="s">
        <v>47</v>
      </c>
      <c r="D11" s="3" t="s">
        <v>48</v>
      </c>
      <c r="E11" s="3" t="s">
        <v>48</v>
      </c>
      <c r="F11" s="3" t="s">
        <v>365</v>
      </c>
      <c r="G11" t="s">
        <v>53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705">
        <v>0</v>
      </c>
      <c r="N11" s="206" t="s">
        <v>477</v>
      </c>
      <c r="P11" s="66"/>
      <c r="Q11" s="195">
        <f>INDEX('Apportionment Bases'!AF$6:AF$33,MATCH($N11,'Apportionment Bases'!$A$6:$A$33,0))</f>
        <v>0.625</v>
      </c>
      <c r="R11" s="195">
        <f>INDEX('Apportionment Bases'!AG$6:AG$33,MATCH($N11,'Apportionment Bases'!$A$6:$A$33,0))</f>
        <v>0.13</v>
      </c>
      <c r="S11" s="199"/>
      <c r="T11" s="195">
        <f>INDEX('Apportionment Bases'!AI$6:AI$33,MATCH($N11,'Apportionment Bases'!$A$6:$A$33,0))</f>
        <v>0.245</v>
      </c>
      <c r="V11" s="66"/>
      <c r="W11" s="72">
        <f t="shared" ref="W11:W19" si="17">$L11*Q11</f>
        <v>0</v>
      </c>
      <c r="X11" s="72">
        <f t="shared" si="14"/>
        <v>0</v>
      </c>
      <c r="Y11" s="66"/>
      <c r="Z11" s="72">
        <f t="shared" si="16"/>
        <v>0</v>
      </c>
      <c r="AA11" s="266" t="str">
        <f t="shared" si="15"/>
        <v>TRUE</v>
      </c>
      <c r="AB11" s="59" t="s">
        <v>181</v>
      </c>
      <c r="AC11" s="66"/>
      <c r="AD11" s="693">
        <f>'Apportionment Assumptions'!X16</f>
        <v>0.56585845347313235</v>
      </c>
      <c r="AE11" s="691">
        <f>'Apportionment Assumptions'!Y16</f>
        <v>0</v>
      </c>
      <c r="AF11" s="692"/>
      <c r="AG11" s="691">
        <f>'Apportionment Assumptions'!AA16</f>
        <v>0.379</v>
      </c>
      <c r="AH11" s="301"/>
      <c r="AO11" s="79"/>
      <c r="AP11" s="44">
        <f t="shared" si="1"/>
        <v>0</v>
      </c>
      <c r="AQ11" s="44">
        <f t="shared" si="2"/>
        <v>0</v>
      </c>
      <c r="AR11" s="81"/>
      <c r="AS11" s="72">
        <f t="shared" si="3"/>
        <v>0</v>
      </c>
      <c r="AT11" s="301"/>
      <c r="AU11" s="79"/>
      <c r="AV11" s="72">
        <f t="shared" si="4"/>
        <v>0</v>
      </c>
      <c r="AW11" s="72">
        <f t="shared" si="5"/>
        <v>0</v>
      </c>
      <c r="AX11" s="81"/>
      <c r="AY11" s="72">
        <f t="shared" si="6"/>
        <v>0</v>
      </c>
      <c r="AZ11" s="301"/>
      <c r="BA11" s="79"/>
      <c r="BB11" s="72"/>
      <c r="BC11" s="72"/>
      <c r="BD11" s="81"/>
      <c r="BE11" s="72"/>
      <c r="CE11" s="79"/>
      <c r="CF11" s="72">
        <f t="shared" si="7"/>
        <v>0</v>
      </c>
      <c r="CG11" s="72">
        <f t="shared" si="8"/>
        <v>0</v>
      </c>
      <c r="CH11" s="81"/>
      <c r="CI11" s="72">
        <f t="shared" si="9"/>
        <v>0</v>
      </c>
      <c r="CJ11" s="301"/>
      <c r="CK11" s="79"/>
      <c r="CL11" s="72">
        <f t="shared" si="10"/>
        <v>0</v>
      </c>
      <c r="CM11" s="72">
        <f t="shared" si="11"/>
        <v>0</v>
      </c>
      <c r="CN11" s="81"/>
      <c r="CO11" s="72">
        <f t="shared" si="12"/>
        <v>0</v>
      </c>
      <c r="CP11" s="301"/>
    </row>
    <row r="12" spans="1:94" x14ac:dyDescent="0.25">
      <c r="A12" s="3" t="s">
        <v>243</v>
      </c>
      <c r="B12" s="3" t="s">
        <v>54</v>
      </c>
      <c r="C12" s="3" t="s">
        <v>47</v>
      </c>
      <c r="D12" s="3" t="s">
        <v>48</v>
      </c>
      <c r="E12" s="3" t="s">
        <v>48</v>
      </c>
      <c r="F12" s="3" t="s">
        <v>368</v>
      </c>
      <c r="G12" t="s">
        <v>55</v>
      </c>
      <c r="H12" s="67">
        <f t="shared" si="0"/>
        <v>750</v>
      </c>
      <c r="I12" s="67">
        <f t="shared" si="0"/>
        <v>750</v>
      </c>
      <c r="J12" s="67">
        <f t="shared" si="0"/>
        <v>750</v>
      </c>
      <c r="K12" s="67">
        <f t="shared" si="0"/>
        <v>750</v>
      </c>
      <c r="L12" s="705">
        <v>3000</v>
      </c>
      <c r="N12" s="206" t="s">
        <v>477</v>
      </c>
      <c r="P12" s="66"/>
      <c r="Q12" s="195">
        <f>INDEX('Apportionment Bases'!AF$6:AF$33,MATCH($N12,'Apportionment Bases'!$A$6:$A$33,0))</f>
        <v>0.625</v>
      </c>
      <c r="R12" s="195">
        <f>INDEX('Apportionment Bases'!AG$6:AG$33,MATCH($N12,'Apportionment Bases'!$A$6:$A$33,0))</f>
        <v>0.13</v>
      </c>
      <c r="S12" s="199"/>
      <c r="T12" s="195">
        <f>INDEX('Apportionment Bases'!AI$6:AI$33,MATCH($N12,'Apportionment Bases'!$A$6:$A$33,0))</f>
        <v>0.245</v>
      </c>
      <c r="V12" s="66"/>
      <c r="W12" s="72">
        <f t="shared" si="17"/>
        <v>1875</v>
      </c>
      <c r="X12" s="72">
        <f t="shared" si="14"/>
        <v>390</v>
      </c>
      <c r="Y12" s="66"/>
      <c r="Z12" s="72">
        <f t="shared" si="16"/>
        <v>735</v>
      </c>
      <c r="AA12" s="266" t="str">
        <f t="shared" si="15"/>
        <v>TRUE</v>
      </c>
      <c r="AH12" s="301"/>
      <c r="AO12" s="79"/>
      <c r="AP12" s="44">
        <f t="shared" si="1"/>
        <v>0</v>
      </c>
      <c r="AQ12" s="44">
        <f t="shared" si="2"/>
        <v>0</v>
      </c>
      <c r="AR12" s="81"/>
      <c r="AS12" s="72">
        <f t="shared" si="3"/>
        <v>214.61999999999998</v>
      </c>
      <c r="AT12" s="301"/>
      <c r="AU12" s="79"/>
      <c r="AV12" s="72">
        <f t="shared" si="4"/>
        <v>783.29783748361717</v>
      </c>
      <c r="AW12" s="72">
        <f t="shared" si="5"/>
        <v>390</v>
      </c>
      <c r="AX12" s="81"/>
      <c r="AY12" s="72">
        <f t="shared" si="6"/>
        <v>219.76499999999999</v>
      </c>
      <c r="AZ12" s="301"/>
      <c r="BA12" s="79"/>
      <c r="BB12" s="72"/>
      <c r="BC12" s="72"/>
      <c r="BD12" s="81"/>
      <c r="BE12" s="72"/>
      <c r="CE12" s="79"/>
      <c r="CF12" s="72">
        <f t="shared" si="7"/>
        <v>30.717562254259501</v>
      </c>
      <c r="CG12" s="72">
        <f t="shared" si="8"/>
        <v>0</v>
      </c>
      <c r="CH12" s="81"/>
      <c r="CI12" s="72">
        <f t="shared" si="9"/>
        <v>22.05</v>
      </c>
      <c r="CJ12" s="301"/>
      <c r="CK12" s="79"/>
      <c r="CL12" s="72">
        <f t="shared" si="10"/>
        <v>1060.9846002621232</v>
      </c>
      <c r="CM12" s="72">
        <f t="shared" si="11"/>
        <v>0</v>
      </c>
      <c r="CN12" s="81"/>
      <c r="CO12" s="72">
        <f t="shared" si="12"/>
        <v>278.565</v>
      </c>
      <c r="CP12" s="301"/>
    </row>
    <row r="13" spans="1:94" x14ac:dyDescent="0.25">
      <c r="A13" s="3" t="s">
        <v>243</v>
      </c>
      <c r="B13" s="3" t="s">
        <v>54</v>
      </c>
      <c r="C13" s="3" t="s">
        <v>45</v>
      </c>
      <c r="D13" s="3" t="s">
        <v>48</v>
      </c>
      <c r="E13" s="3" t="s">
        <v>48</v>
      </c>
      <c r="F13" s="3" t="s">
        <v>369</v>
      </c>
      <c r="G13" t="s">
        <v>55</v>
      </c>
      <c r="H13" s="67">
        <f t="shared" si="0"/>
        <v>450</v>
      </c>
      <c r="I13" s="67">
        <f t="shared" si="0"/>
        <v>450</v>
      </c>
      <c r="J13" s="67">
        <f t="shared" si="0"/>
        <v>450</v>
      </c>
      <c r="K13" s="67">
        <f t="shared" si="0"/>
        <v>450</v>
      </c>
      <c r="L13" s="705">
        <v>1800</v>
      </c>
      <c r="N13" s="206" t="s">
        <v>477</v>
      </c>
      <c r="P13" s="66"/>
      <c r="Q13" s="195">
        <f>INDEX('Apportionment Bases'!AF$6:AF$33,MATCH($N13,'Apportionment Bases'!$A$6:$A$33,0))</f>
        <v>0.625</v>
      </c>
      <c r="R13" s="195">
        <f>INDEX('Apportionment Bases'!AG$6:AG$33,MATCH($N13,'Apportionment Bases'!$A$6:$A$33,0))</f>
        <v>0.13</v>
      </c>
      <c r="S13" s="199"/>
      <c r="T13" s="195">
        <f>INDEX('Apportionment Bases'!AI$6:AI$33,MATCH($N13,'Apportionment Bases'!$A$6:$A$33,0))</f>
        <v>0.245</v>
      </c>
      <c r="V13" s="66"/>
      <c r="W13" s="72">
        <f t="shared" si="17"/>
        <v>1125</v>
      </c>
      <c r="X13" s="72">
        <f t="shared" si="14"/>
        <v>234</v>
      </c>
      <c r="Y13" s="66"/>
      <c r="Z13" s="72">
        <f t="shared" si="16"/>
        <v>441</v>
      </c>
      <c r="AA13" s="266" t="str">
        <f t="shared" si="15"/>
        <v>TRUE</v>
      </c>
      <c r="AH13" s="301"/>
      <c r="AO13" s="79"/>
      <c r="AP13" s="44">
        <f t="shared" si="1"/>
        <v>0</v>
      </c>
      <c r="AQ13" s="44">
        <f t="shared" si="2"/>
        <v>0</v>
      </c>
      <c r="AR13" s="81"/>
      <c r="AS13" s="72">
        <f t="shared" si="3"/>
        <v>128.77199999999999</v>
      </c>
      <c r="AT13" s="301"/>
      <c r="AU13" s="79"/>
      <c r="AV13" s="72">
        <f t="shared" si="4"/>
        <v>469.97870249017029</v>
      </c>
      <c r="AW13" s="72">
        <f t="shared" si="5"/>
        <v>234</v>
      </c>
      <c r="AX13" s="81"/>
      <c r="AY13" s="72">
        <f t="shared" si="6"/>
        <v>131.85900000000001</v>
      </c>
      <c r="AZ13" s="301"/>
      <c r="BA13" s="79"/>
      <c r="BB13" s="72"/>
      <c r="BC13" s="72"/>
      <c r="BD13" s="81"/>
      <c r="BE13" s="72"/>
      <c r="CE13" s="79"/>
      <c r="CF13" s="72">
        <f t="shared" si="7"/>
        <v>18.430537352555699</v>
      </c>
      <c r="CG13" s="72">
        <f t="shared" si="8"/>
        <v>0</v>
      </c>
      <c r="CH13" s="81"/>
      <c r="CI13" s="72">
        <f t="shared" si="9"/>
        <v>13.229999999999999</v>
      </c>
      <c r="CJ13" s="301"/>
      <c r="CK13" s="79"/>
      <c r="CL13" s="72">
        <f t="shared" si="10"/>
        <v>636.59076015727385</v>
      </c>
      <c r="CM13" s="72">
        <f t="shared" si="11"/>
        <v>0</v>
      </c>
      <c r="CN13" s="81"/>
      <c r="CO13" s="72">
        <f t="shared" si="12"/>
        <v>167.13900000000001</v>
      </c>
      <c r="CP13" s="301"/>
    </row>
    <row r="14" spans="1:94" x14ac:dyDescent="0.25">
      <c r="A14" s="3" t="s">
        <v>243</v>
      </c>
      <c r="B14" s="3" t="s">
        <v>56</v>
      </c>
      <c r="C14" s="3" t="s">
        <v>47</v>
      </c>
      <c r="D14" s="3" t="s">
        <v>48</v>
      </c>
      <c r="E14" s="3" t="s">
        <v>48</v>
      </c>
      <c r="F14" s="3" t="s">
        <v>370</v>
      </c>
      <c r="G14" t="s">
        <v>57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  <c r="L14" s="705">
        <v>0</v>
      </c>
      <c r="N14" s="206" t="s">
        <v>477</v>
      </c>
      <c r="P14" s="66"/>
      <c r="Q14" s="195">
        <f>INDEX('Apportionment Bases'!AF$6:AF$33,MATCH($N14,'Apportionment Bases'!$A$6:$A$33,0))</f>
        <v>0.625</v>
      </c>
      <c r="R14" s="195">
        <f>INDEX('Apportionment Bases'!AG$6:AG$33,MATCH($N14,'Apportionment Bases'!$A$6:$A$33,0))</f>
        <v>0.13</v>
      </c>
      <c r="S14" s="199"/>
      <c r="T14" s="195">
        <f>INDEX('Apportionment Bases'!AI$6:AI$33,MATCH($N14,'Apportionment Bases'!$A$6:$A$33,0))</f>
        <v>0.245</v>
      </c>
      <c r="V14" s="66"/>
      <c r="W14" s="72">
        <f t="shared" si="17"/>
        <v>0</v>
      </c>
      <c r="X14" s="72">
        <f t="shared" si="14"/>
        <v>0</v>
      </c>
      <c r="Y14" s="66"/>
      <c r="Z14" s="72">
        <f t="shared" si="16"/>
        <v>0</v>
      </c>
      <c r="AA14" s="266" t="str">
        <f t="shared" si="15"/>
        <v>TRUE</v>
      </c>
      <c r="AH14" s="301"/>
      <c r="AO14" s="79"/>
      <c r="AP14" s="44">
        <f t="shared" si="1"/>
        <v>0</v>
      </c>
      <c r="AQ14" s="44">
        <f t="shared" si="2"/>
        <v>0</v>
      </c>
      <c r="AR14" s="81"/>
      <c r="AS14" s="72">
        <f t="shared" si="3"/>
        <v>0</v>
      </c>
      <c r="AT14" s="301"/>
      <c r="AU14" s="79"/>
      <c r="AV14" s="72">
        <f t="shared" si="4"/>
        <v>0</v>
      </c>
      <c r="AW14" s="72">
        <f t="shared" si="5"/>
        <v>0</v>
      </c>
      <c r="AX14" s="81"/>
      <c r="AY14" s="72">
        <f t="shared" si="6"/>
        <v>0</v>
      </c>
      <c r="AZ14" s="301"/>
      <c r="BA14" s="79"/>
      <c r="BB14" s="72"/>
      <c r="BC14" s="72"/>
      <c r="BD14" s="81"/>
      <c r="BE14" s="72"/>
      <c r="CE14" s="79"/>
      <c r="CF14" s="72">
        <f t="shared" si="7"/>
        <v>0</v>
      </c>
      <c r="CG14" s="72">
        <f t="shared" si="8"/>
        <v>0</v>
      </c>
      <c r="CH14" s="81"/>
      <c r="CI14" s="72">
        <f t="shared" si="9"/>
        <v>0</v>
      </c>
      <c r="CJ14" s="301"/>
      <c r="CK14" s="79"/>
      <c r="CL14" s="72">
        <f t="shared" si="10"/>
        <v>0</v>
      </c>
      <c r="CM14" s="72">
        <f t="shared" si="11"/>
        <v>0</v>
      </c>
      <c r="CN14" s="81"/>
      <c r="CO14" s="72">
        <f t="shared" si="12"/>
        <v>0</v>
      </c>
      <c r="CP14" s="301"/>
    </row>
    <row r="15" spans="1:94" x14ac:dyDescent="0.25">
      <c r="A15" s="3" t="s">
        <v>243</v>
      </c>
      <c r="B15" s="3" t="s">
        <v>56</v>
      </c>
      <c r="C15" s="3" t="s">
        <v>45</v>
      </c>
      <c r="D15" s="3" t="s">
        <v>48</v>
      </c>
      <c r="E15" s="3" t="s">
        <v>48</v>
      </c>
      <c r="F15" s="3" t="s">
        <v>371</v>
      </c>
      <c r="G15" t="s">
        <v>57</v>
      </c>
      <c r="H15" s="67">
        <f t="shared" si="0"/>
        <v>0</v>
      </c>
      <c r="I15" s="67">
        <f t="shared" si="0"/>
        <v>0</v>
      </c>
      <c r="J15" s="67">
        <f t="shared" si="0"/>
        <v>0</v>
      </c>
      <c r="K15" s="67">
        <f t="shared" si="0"/>
        <v>0</v>
      </c>
      <c r="L15" s="705">
        <v>0</v>
      </c>
      <c r="N15" s="206" t="s">
        <v>477</v>
      </c>
      <c r="P15" s="66"/>
      <c r="Q15" s="195">
        <f>INDEX('Apportionment Bases'!AF$6:AF$33,MATCH($N15,'Apportionment Bases'!$A$6:$A$33,0))</f>
        <v>0.625</v>
      </c>
      <c r="R15" s="195">
        <f>INDEX('Apportionment Bases'!AG$6:AG$33,MATCH($N15,'Apportionment Bases'!$A$6:$A$33,0))</f>
        <v>0.13</v>
      </c>
      <c r="S15" s="199"/>
      <c r="T15" s="195">
        <f>INDEX('Apportionment Bases'!AI$6:AI$33,MATCH($N15,'Apportionment Bases'!$A$6:$A$33,0))</f>
        <v>0.245</v>
      </c>
      <c r="V15" s="66"/>
      <c r="W15" s="72">
        <f t="shared" si="17"/>
        <v>0</v>
      </c>
      <c r="X15" s="72">
        <f t="shared" si="14"/>
        <v>0</v>
      </c>
      <c r="Y15" s="66"/>
      <c r="Z15" s="72">
        <f t="shared" si="16"/>
        <v>0</v>
      </c>
      <c r="AA15" s="266" t="str">
        <f t="shared" si="15"/>
        <v>TRUE</v>
      </c>
      <c r="AH15" s="301"/>
      <c r="AO15" s="79"/>
      <c r="AP15" s="44">
        <f t="shared" si="1"/>
        <v>0</v>
      </c>
      <c r="AQ15" s="44">
        <f t="shared" si="2"/>
        <v>0</v>
      </c>
      <c r="AR15" s="81"/>
      <c r="AS15" s="72">
        <f t="shared" si="3"/>
        <v>0</v>
      </c>
      <c r="AT15" s="301"/>
      <c r="AU15" s="79"/>
      <c r="AV15" s="72">
        <f t="shared" si="4"/>
        <v>0</v>
      </c>
      <c r="AW15" s="72">
        <f t="shared" si="5"/>
        <v>0</v>
      </c>
      <c r="AX15" s="81"/>
      <c r="AY15" s="72">
        <f t="shared" si="6"/>
        <v>0</v>
      </c>
      <c r="AZ15" s="301"/>
      <c r="BA15" s="79"/>
      <c r="BB15" s="72"/>
      <c r="BC15" s="72"/>
      <c r="BD15" s="81"/>
      <c r="BE15" s="72"/>
      <c r="CE15" s="79"/>
      <c r="CF15" s="72">
        <f t="shared" si="7"/>
        <v>0</v>
      </c>
      <c r="CG15" s="72">
        <f t="shared" si="8"/>
        <v>0</v>
      </c>
      <c r="CH15" s="81"/>
      <c r="CI15" s="72">
        <f t="shared" si="9"/>
        <v>0</v>
      </c>
      <c r="CJ15" s="301"/>
      <c r="CK15" s="79"/>
      <c r="CL15" s="72">
        <f t="shared" si="10"/>
        <v>0</v>
      </c>
      <c r="CM15" s="72">
        <f t="shared" si="11"/>
        <v>0</v>
      </c>
      <c r="CN15" s="81"/>
      <c r="CO15" s="72">
        <f t="shared" si="12"/>
        <v>0</v>
      </c>
      <c r="CP15" s="301"/>
    </row>
    <row r="16" spans="1:94" x14ac:dyDescent="0.25">
      <c r="A16" s="3">
        <v>15</v>
      </c>
      <c r="B16" s="35" t="s">
        <v>58</v>
      </c>
      <c r="C16" s="35" t="s">
        <v>47</v>
      </c>
      <c r="D16" s="105" t="s">
        <v>48</v>
      </c>
      <c r="E16" s="35" t="s">
        <v>48</v>
      </c>
      <c r="F16" s="17" t="str">
        <f>CONCATENATE(A16,"-",B16,"-",C16,"-",D16,"-",E16)</f>
        <v>15-5315-01-00-00</v>
      </c>
      <c r="G16" s="36" t="s">
        <v>59</v>
      </c>
      <c r="H16" s="67">
        <f t="shared" si="0"/>
        <v>0</v>
      </c>
      <c r="I16" s="67">
        <f t="shared" si="0"/>
        <v>0</v>
      </c>
      <c r="J16" s="67">
        <f t="shared" si="0"/>
        <v>0</v>
      </c>
      <c r="K16" s="67">
        <f t="shared" si="0"/>
        <v>0</v>
      </c>
      <c r="L16" s="705">
        <v>0</v>
      </c>
      <c r="N16" s="206" t="s">
        <v>531</v>
      </c>
      <c r="P16" s="66"/>
      <c r="Q16" s="195">
        <f>INDEX('Apportionment Bases'!AF$6:AF$33,MATCH($N16,'Apportionment Bases'!$A$6:$A$33,0))</f>
        <v>0.625</v>
      </c>
      <c r="R16" s="195">
        <f>INDEX('Apportionment Bases'!AG$6:AG$33,MATCH($N16,'Apportionment Bases'!$A$6:$A$33,0))</f>
        <v>0.13</v>
      </c>
      <c r="S16" s="199"/>
      <c r="T16" s="195">
        <f>INDEX('Apportionment Bases'!AI$6:AI$33,MATCH($N16,'Apportionment Bases'!$A$6:$A$33,0))</f>
        <v>0.245</v>
      </c>
      <c r="V16" s="66"/>
      <c r="W16" s="72">
        <f t="shared" ref="W16" si="18">$L16*Q16</f>
        <v>0</v>
      </c>
      <c r="X16" s="72">
        <f t="shared" ref="X16" si="19">$L16*R16</f>
        <v>0</v>
      </c>
      <c r="Y16" s="66"/>
      <c r="Z16" s="72">
        <f t="shared" ref="Z16" si="20">$L16*T16</f>
        <v>0</v>
      </c>
      <c r="AA16" s="266" t="str">
        <f t="shared" ref="AA16" si="21">IF(SUM(V16:Z16)=L16,"TRUE","FALSE")</f>
        <v>TRUE</v>
      </c>
      <c r="AH16" s="301"/>
      <c r="AO16" s="79"/>
      <c r="AP16" s="44">
        <f t="shared" ref="AP16" si="22">$AD$7*W16</f>
        <v>0</v>
      </c>
      <c r="AQ16" s="44">
        <f t="shared" ref="AQ16" si="23">$AE$7*X16</f>
        <v>0</v>
      </c>
      <c r="AR16" s="81"/>
      <c r="AS16" s="72">
        <f t="shared" ref="AS16" si="24">$AG$7*Z16</f>
        <v>0</v>
      </c>
      <c r="AT16" s="301"/>
      <c r="AU16" s="79"/>
      <c r="AV16" s="72">
        <f t="shared" ref="AV16" si="25">$AD$8*W16</f>
        <v>0</v>
      </c>
      <c r="AW16" s="72">
        <f t="shared" ref="AW16" si="26">$AE$8*X16</f>
        <v>0</v>
      </c>
      <c r="AX16" s="81"/>
      <c r="AY16" s="72">
        <f t="shared" ref="AY16" si="27">$AG$8*Z16</f>
        <v>0</v>
      </c>
      <c r="AZ16" s="301"/>
      <c r="BA16" s="79"/>
      <c r="BB16" s="72"/>
      <c r="BC16" s="72"/>
      <c r="BD16" s="81"/>
      <c r="BE16" s="72"/>
      <c r="CE16" s="79"/>
      <c r="CF16" s="72">
        <f t="shared" ref="CF16" si="28">$AD$10*W16</f>
        <v>0</v>
      </c>
      <c r="CG16" s="72">
        <f t="shared" ref="CG16" si="29">$AE$10*X16</f>
        <v>0</v>
      </c>
      <c r="CH16" s="81"/>
      <c r="CI16" s="72">
        <f t="shared" ref="CI16" si="30">$AG$10*Z16</f>
        <v>0</v>
      </c>
      <c r="CJ16" s="301"/>
      <c r="CK16" s="79"/>
      <c r="CL16" s="72">
        <f t="shared" ref="CL16" si="31">$AD$11*W16</f>
        <v>0</v>
      </c>
      <c r="CM16" s="72">
        <f t="shared" ref="CM16" si="32">$AE$11*X16</f>
        <v>0</v>
      </c>
      <c r="CN16" s="81"/>
      <c r="CO16" s="72">
        <f t="shared" ref="CO16" si="33">$AG$11*Z16</f>
        <v>0</v>
      </c>
      <c r="CP16" s="301"/>
    </row>
    <row r="17" spans="1:94" x14ac:dyDescent="0.25">
      <c r="A17" s="3" t="s">
        <v>243</v>
      </c>
      <c r="B17" s="3" t="s">
        <v>60</v>
      </c>
      <c r="C17" s="3" t="s">
        <v>47</v>
      </c>
      <c r="D17" s="3" t="s">
        <v>48</v>
      </c>
      <c r="E17" s="3" t="s">
        <v>48</v>
      </c>
      <c r="F17" s="3" t="s">
        <v>372</v>
      </c>
      <c r="G17" t="s">
        <v>61</v>
      </c>
      <c r="H17" s="67">
        <f t="shared" si="0"/>
        <v>129360</v>
      </c>
      <c r="I17" s="67">
        <f t="shared" si="0"/>
        <v>129360</v>
      </c>
      <c r="J17" s="67">
        <f t="shared" si="0"/>
        <v>129360</v>
      </c>
      <c r="K17" s="67">
        <f t="shared" si="0"/>
        <v>129360</v>
      </c>
      <c r="L17" s="705">
        <v>517440</v>
      </c>
      <c r="N17" s="206" t="s">
        <v>479</v>
      </c>
      <c r="P17" s="66"/>
      <c r="Q17" s="195">
        <f>INDEX('Apportionment Bases'!AF$6:AF$33,MATCH($N17,'Apportionment Bases'!$A$6:$A$33,0))</f>
        <v>0.625</v>
      </c>
      <c r="R17" s="195">
        <f>INDEX('Apportionment Bases'!AG$6:AG$33,MATCH($N17,'Apportionment Bases'!$A$6:$A$33,0))</f>
        <v>0.13</v>
      </c>
      <c r="S17" s="199"/>
      <c r="T17" s="195">
        <f>INDEX('Apportionment Bases'!AI$6:AI$33,MATCH($N17,'Apportionment Bases'!$A$6:$A$33,0))</f>
        <v>0.245</v>
      </c>
      <c r="V17" s="66"/>
      <c r="W17" s="72">
        <f t="shared" si="17"/>
        <v>323400</v>
      </c>
      <c r="X17" s="72">
        <f t="shared" si="14"/>
        <v>67267.199999999997</v>
      </c>
      <c r="Y17" s="66"/>
      <c r="Z17" s="72">
        <f t="shared" si="16"/>
        <v>126772.8</v>
      </c>
      <c r="AA17" s="266" t="str">
        <f t="shared" si="15"/>
        <v>TRUE</v>
      </c>
      <c r="AH17" s="301"/>
      <c r="AO17" s="79"/>
      <c r="AP17" s="44">
        <f t="shared" si="1"/>
        <v>0</v>
      </c>
      <c r="AQ17" s="44">
        <f t="shared" si="2"/>
        <v>0</v>
      </c>
      <c r="AR17" s="81"/>
      <c r="AS17" s="72">
        <f t="shared" si="3"/>
        <v>37017.657599999999</v>
      </c>
      <c r="AT17" s="301"/>
      <c r="AU17" s="79"/>
      <c r="AV17" s="72">
        <f t="shared" si="4"/>
        <v>135103.21100917429</v>
      </c>
      <c r="AW17" s="72">
        <f t="shared" si="5"/>
        <v>67267.199999999997</v>
      </c>
      <c r="AX17" s="81"/>
      <c r="AY17" s="72">
        <f t="shared" si="6"/>
        <v>37905.067199999998</v>
      </c>
      <c r="AZ17" s="301"/>
      <c r="BA17" s="79"/>
      <c r="BB17" s="72"/>
      <c r="BC17" s="72"/>
      <c r="BD17" s="81"/>
      <c r="BE17" s="72"/>
      <c r="CE17" s="79"/>
      <c r="CF17" s="72">
        <f t="shared" si="7"/>
        <v>5298.1651376146792</v>
      </c>
      <c r="CG17" s="72">
        <f t="shared" si="8"/>
        <v>0</v>
      </c>
      <c r="CH17" s="81"/>
      <c r="CI17" s="72">
        <f t="shared" si="9"/>
        <v>3803.1839999999997</v>
      </c>
      <c r="CJ17" s="301"/>
      <c r="CK17" s="79"/>
      <c r="CL17" s="72">
        <f t="shared" si="10"/>
        <v>182998.623853211</v>
      </c>
      <c r="CM17" s="72">
        <f t="shared" si="11"/>
        <v>0</v>
      </c>
      <c r="CN17" s="81"/>
      <c r="CO17" s="72">
        <f t="shared" si="12"/>
        <v>48046.891199999998</v>
      </c>
      <c r="CP17" s="301"/>
    </row>
    <row r="18" spans="1:94" x14ac:dyDescent="0.25">
      <c r="A18" s="3" t="s">
        <v>243</v>
      </c>
      <c r="B18" s="3" t="s">
        <v>60</v>
      </c>
      <c r="C18" s="3" t="s">
        <v>45</v>
      </c>
      <c r="D18" s="3" t="s">
        <v>48</v>
      </c>
      <c r="E18" s="3" t="s">
        <v>48</v>
      </c>
      <c r="F18" s="3" t="s">
        <v>373</v>
      </c>
      <c r="G18" t="s">
        <v>61</v>
      </c>
      <c r="H18" s="67">
        <f t="shared" si="0"/>
        <v>27816</v>
      </c>
      <c r="I18" s="67">
        <f t="shared" si="0"/>
        <v>27816</v>
      </c>
      <c r="J18" s="67">
        <f t="shared" si="0"/>
        <v>27816</v>
      </c>
      <c r="K18" s="67">
        <f t="shared" si="0"/>
        <v>27816</v>
      </c>
      <c r="L18" s="705">
        <v>111264</v>
      </c>
      <c r="N18" s="206" t="s">
        <v>480</v>
      </c>
      <c r="P18" s="66"/>
      <c r="Q18" s="195">
        <f>INDEX('Apportionment Bases'!AF$6:AF$33,MATCH($N18,'Apportionment Bases'!$A$6:$A$33,0))</f>
        <v>0.54300000000000004</v>
      </c>
      <c r="R18" s="195">
        <f>INDEX('Apportionment Bases'!AG$6:AG$33,MATCH($N18,'Apportionment Bases'!$A$6:$A$33,0))</f>
        <v>0.22800000000000001</v>
      </c>
      <c r="S18" s="199"/>
      <c r="T18" s="195">
        <f>INDEX('Apportionment Bases'!AI$6:AI$33,MATCH($N18,'Apportionment Bases'!$A$6:$A$33,0))</f>
        <v>0.22900000000000001</v>
      </c>
      <c r="V18" s="66"/>
      <c r="W18" s="72">
        <f t="shared" si="17"/>
        <v>60416.352000000006</v>
      </c>
      <c r="X18" s="72">
        <f t="shared" si="14"/>
        <v>25368.191999999999</v>
      </c>
      <c r="Y18" s="66"/>
      <c r="Z18" s="72">
        <f t="shared" si="16"/>
        <v>25479.456000000002</v>
      </c>
      <c r="AA18" s="266" t="str">
        <f t="shared" si="15"/>
        <v>TRUE</v>
      </c>
      <c r="AH18" s="301"/>
      <c r="AO18" s="79"/>
      <c r="AP18" s="44">
        <f t="shared" si="1"/>
        <v>0</v>
      </c>
      <c r="AQ18" s="44">
        <f t="shared" si="2"/>
        <v>0</v>
      </c>
      <c r="AR18" s="81"/>
      <c r="AS18" s="72">
        <f t="shared" si="3"/>
        <v>7440.0011519999998</v>
      </c>
      <c r="AT18" s="301"/>
      <c r="AU18" s="79"/>
      <c r="AV18" s="72">
        <f t="shared" si="4"/>
        <v>25239.465530799476</v>
      </c>
      <c r="AW18" s="72">
        <f t="shared" si="5"/>
        <v>25368.191999999999</v>
      </c>
      <c r="AX18" s="81"/>
      <c r="AY18" s="72">
        <f t="shared" si="6"/>
        <v>7618.357344</v>
      </c>
      <c r="AZ18" s="301"/>
      <c r="BA18" s="79"/>
      <c r="BB18" s="72"/>
      <c r="BC18" s="72"/>
      <c r="BD18" s="81"/>
      <c r="BE18" s="72"/>
      <c r="CE18" s="79"/>
      <c r="CF18" s="72">
        <f t="shared" si="7"/>
        <v>989.78296199213639</v>
      </c>
      <c r="CG18" s="72">
        <f t="shared" si="8"/>
        <v>0</v>
      </c>
      <c r="CH18" s="81"/>
      <c r="CI18" s="72">
        <f t="shared" si="9"/>
        <v>764.38368000000003</v>
      </c>
      <c r="CJ18" s="301"/>
      <c r="CK18" s="79"/>
      <c r="CL18" s="72">
        <f t="shared" si="10"/>
        <v>34187.103507208391</v>
      </c>
      <c r="CM18" s="72">
        <f t="shared" si="11"/>
        <v>0</v>
      </c>
      <c r="CN18" s="81"/>
      <c r="CO18" s="72">
        <f t="shared" si="12"/>
        <v>9656.7138240000004</v>
      </c>
      <c r="CP18" s="301"/>
    </row>
    <row r="19" spans="1:94" x14ac:dyDescent="0.25">
      <c r="A19" s="3" t="s">
        <v>243</v>
      </c>
      <c r="B19" s="3" t="s">
        <v>62</v>
      </c>
      <c r="C19" s="3" t="s">
        <v>47</v>
      </c>
      <c r="D19" s="3" t="s">
        <v>48</v>
      </c>
      <c r="E19" s="3" t="s">
        <v>48</v>
      </c>
      <c r="F19" s="3" t="s">
        <v>374</v>
      </c>
      <c r="G19" t="s">
        <v>63</v>
      </c>
      <c r="H19" s="67">
        <f>$L19/4</f>
        <v>5833.25</v>
      </c>
      <c r="I19" s="67">
        <f t="shared" si="0"/>
        <v>5833.25</v>
      </c>
      <c r="J19" s="67">
        <f t="shared" si="0"/>
        <v>5833.25</v>
      </c>
      <c r="K19" s="67">
        <f t="shared" si="0"/>
        <v>5833.25</v>
      </c>
      <c r="L19" s="705">
        <v>23333</v>
      </c>
      <c r="N19" s="206" t="s">
        <v>705</v>
      </c>
      <c r="P19" s="66"/>
      <c r="Q19" s="195">
        <f>INDEX('Apportionment Bases'!AF$6:AF$33,MATCH($N19,'Apportionment Bases'!$A$6:$A$33,0))</f>
        <v>0</v>
      </c>
      <c r="R19" s="195">
        <f>INDEX('Apportionment Bases'!AG$6:AG$33,MATCH($N19,'Apportionment Bases'!$A$6:$A$33,0))</f>
        <v>0</v>
      </c>
      <c r="S19" s="199"/>
      <c r="T19" s="195">
        <f>INDEX('Apportionment Bases'!AI$6:AI$33,MATCH($N19,'Apportionment Bases'!$A$6:$A$33,0))</f>
        <v>1</v>
      </c>
      <c r="V19" s="66"/>
      <c r="W19" s="72">
        <f t="shared" si="17"/>
        <v>0</v>
      </c>
      <c r="X19" s="72">
        <f t="shared" si="14"/>
        <v>0</v>
      </c>
      <c r="Y19" s="66"/>
      <c r="Z19" s="72">
        <f t="shared" si="16"/>
        <v>23333</v>
      </c>
      <c r="AA19" s="266" t="str">
        <f>IF(SUM(V19:Z19)=L19,"TRUE","FALSE")</f>
        <v>TRUE</v>
      </c>
      <c r="AH19" s="301"/>
      <c r="AO19" s="79"/>
      <c r="AP19" s="44">
        <f t="shared" si="1"/>
        <v>0</v>
      </c>
      <c r="AQ19" s="44">
        <f t="shared" si="2"/>
        <v>0</v>
      </c>
      <c r="AR19" s="81"/>
      <c r="AS19" s="72">
        <f t="shared" si="3"/>
        <v>6813.2359999999999</v>
      </c>
      <c r="AT19" s="301"/>
      <c r="AU19" s="79"/>
      <c r="AV19" s="72">
        <f t="shared" si="4"/>
        <v>0</v>
      </c>
      <c r="AW19" s="72">
        <f t="shared" si="5"/>
        <v>0</v>
      </c>
      <c r="AX19" s="81"/>
      <c r="AY19" s="72">
        <f t="shared" si="6"/>
        <v>6976.567</v>
      </c>
      <c r="AZ19" s="301"/>
      <c r="BA19" s="79"/>
      <c r="BB19" s="72"/>
      <c r="BC19" s="72"/>
      <c r="BD19" s="81"/>
      <c r="BE19" s="72"/>
      <c r="CE19" s="79"/>
      <c r="CF19" s="72">
        <f t="shared" si="7"/>
        <v>0</v>
      </c>
      <c r="CG19" s="72">
        <f t="shared" si="8"/>
        <v>0</v>
      </c>
      <c r="CH19" s="81"/>
      <c r="CI19" s="72">
        <f t="shared" si="9"/>
        <v>699.99</v>
      </c>
      <c r="CJ19" s="301"/>
      <c r="CK19" s="79"/>
      <c r="CL19" s="72">
        <f t="shared" si="10"/>
        <v>0</v>
      </c>
      <c r="CM19" s="72">
        <f t="shared" si="11"/>
        <v>0</v>
      </c>
      <c r="CN19" s="81"/>
      <c r="CO19" s="72">
        <f t="shared" si="12"/>
        <v>8843.2070000000003</v>
      </c>
      <c r="CP19" s="301"/>
    </row>
    <row r="20" spans="1:94" ht="15.75" thickBot="1" x14ac:dyDescent="0.3">
      <c r="A20" s="28"/>
      <c r="B20" s="28"/>
      <c r="C20" s="28"/>
      <c r="D20" s="28"/>
      <c r="E20" s="28"/>
      <c r="F20" s="28"/>
      <c r="G20" s="28" t="s">
        <v>64</v>
      </c>
      <c r="H20" s="29"/>
      <c r="I20" s="29"/>
      <c r="J20" s="29"/>
      <c r="K20" s="29"/>
      <c r="L20" s="706">
        <f>SUM(L7:L19)</f>
        <v>1515268</v>
      </c>
      <c r="M20" s="28"/>
      <c r="N20" s="28"/>
      <c r="O20" s="28"/>
      <c r="P20" s="28"/>
      <c r="Q20" s="200"/>
      <c r="R20" s="200"/>
      <c r="S20" s="200"/>
      <c r="T20" s="200"/>
      <c r="U20" s="28"/>
      <c r="V20" s="28"/>
      <c r="W20" s="29">
        <f>SUM(W7:W19)</f>
        <v>911023.26299999992</v>
      </c>
      <c r="X20" s="29">
        <f>SUM(X7:X19)</f>
        <v>219570.31800000003</v>
      </c>
      <c r="Y20" s="28"/>
      <c r="Z20" s="29">
        <f>SUM(Z7:Z19)</f>
        <v>384674.41899999999</v>
      </c>
      <c r="AA20" s="28"/>
      <c r="AB20" s="22" t="s">
        <v>187</v>
      </c>
      <c r="AC20" s="28"/>
      <c r="AD20" s="179">
        <f>SUM(AD7:AD19)</f>
        <v>1</v>
      </c>
      <c r="AE20" s="179">
        <f>SUM(AE7:AE19)</f>
        <v>1</v>
      </c>
      <c r="AF20" s="179"/>
      <c r="AG20" s="179">
        <f>SUM(AG7:AG19)</f>
        <v>1</v>
      </c>
      <c r="AH20" s="306"/>
      <c r="AI20" s="28"/>
      <c r="AJ20" s="28"/>
      <c r="AK20" s="28"/>
      <c r="AL20" s="28"/>
      <c r="AM20" s="28"/>
      <c r="AN20" s="28"/>
      <c r="AO20" s="28"/>
      <c r="AP20" s="29">
        <f>SUM(AP7:AP19)</f>
        <v>0</v>
      </c>
      <c r="AQ20" s="29">
        <f>SUM(AQ7:AQ19)</f>
        <v>0</v>
      </c>
      <c r="AR20" s="29"/>
      <c r="AS20" s="29">
        <f>SUM(AS7:AS19)</f>
        <v>112324.93034799999</v>
      </c>
      <c r="AT20" s="303"/>
      <c r="AU20" s="29"/>
      <c r="AV20" s="29">
        <f>SUM(AV7:AV19)</f>
        <v>380588.0276294233</v>
      </c>
      <c r="AW20" s="29">
        <f>SUM(AW7:AW19)</f>
        <v>219570.31800000003</v>
      </c>
      <c r="AX20" s="29"/>
      <c r="AY20" s="29">
        <f>SUM(AY7:AY19)</f>
        <v>115017.65128099998</v>
      </c>
      <c r="AZ20" s="306"/>
      <c r="BA20" s="29"/>
      <c r="BB20" s="29"/>
      <c r="BC20" s="29"/>
      <c r="BD20" s="29"/>
      <c r="BE20" s="29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9"/>
      <c r="CF20" s="29">
        <f>SUM(CF7:CF19)</f>
        <v>14925.020691349935</v>
      </c>
      <c r="CG20" s="29">
        <f>SUM(CG7:CG19)</f>
        <v>0</v>
      </c>
      <c r="CH20" s="29"/>
      <c r="CI20" s="29">
        <f>SUM(CI7:CI19)</f>
        <v>11540.232569999998</v>
      </c>
      <c r="CJ20" s="306"/>
      <c r="CK20" s="29"/>
      <c r="CL20" s="29">
        <f>SUM(CL7:CL19)</f>
        <v>515510.21467922674</v>
      </c>
      <c r="CM20" s="29">
        <f>SUM(CM7:CM19)</f>
        <v>0</v>
      </c>
      <c r="CN20" s="29"/>
      <c r="CO20" s="29">
        <f>SUM(CO7:CO19)</f>
        <v>145791.60480099998</v>
      </c>
      <c r="CP20" s="301"/>
    </row>
    <row r="21" spans="1:94" ht="15.75" thickTop="1" x14ac:dyDescent="0.25">
      <c r="A21"/>
      <c r="B21"/>
      <c r="C21"/>
      <c r="D21"/>
      <c r="E21"/>
      <c r="F21"/>
      <c r="L21" s="710"/>
      <c r="Q21" s="197"/>
      <c r="R21" s="197"/>
      <c r="S21" s="197"/>
      <c r="T21" s="197"/>
      <c r="AH21" s="301"/>
      <c r="AT21" s="301"/>
      <c r="AZ21" s="301"/>
      <c r="CJ21" s="301"/>
      <c r="CP21" s="301"/>
    </row>
    <row r="22" spans="1:94" ht="15.75" thickBot="1" x14ac:dyDescent="0.3">
      <c r="A22" s="765" t="s">
        <v>65</v>
      </c>
      <c r="B22" s="765"/>
      <c r="C22" s="765"/>
      <c r="D22" s="765"/>
      <c r="E22" s="765"/>
      <c r="F22" s="765"/>
      <c r="G22" s="765"/>
      <c r="H22" s="75"/>
      <c r="I22" s="75"/>
      <c r="J22" s="75"/>
      <c r="K22" s="75"/>
      <c r="L22" s="711"/>
      <c r="M22" s="9"/>
      <c r="N22" s="9"/>
      <c r="O22" s="9"/>
      <c r="P22" s="9"/>
      <c r="Q22" s="198"/>
      <c r="R22" s="198"/>
      <c r="S22" s="198"/>
      <c r="T22" s="198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313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313"/>
      <c r="AU22" s="9"/>
      <c r="AV22" s="9"/>
      <c r="AW22" s="9"/>
      <c r="AX22" s="9"/>
      <c r="AY22" s="9"/>
      <c r="AZ22" s="313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313"/>
      <c r="CK22" s="9"/>
      <c r="CL22" s="9"/>
      <c r="CM22" s="9"/>
      <c r="CN22" s="9"/>
      <c r="CO22" s="9"/>
      <c r="CP22" s="301"/>
    </row>
    <row r="23" spans="1:94" x14ac:dyDescent="0.25">
      <c r="A23" s="3" t="s">
        <v>243</v>
      </c>
      <c r="B23" s="3">
        <v>5002</v>
      </c>
      <c r="C23" s="3" t="s">
        <v>47</v>
      </c>
      <c r="D23" s="3" t="s">
        <v>48</v>
      </c>
      <c r="E23" s="3" t="s">
        <v>48</v>
      </c>
      <c r="F23" s="3" t="s">
        <v>309</v>
      </c>
      <c r="G23" t="s">
        <v>11</v>
      </c>
      <c r="H23" s="67">
        <f>$L23/4</f>
        <v>70750</v>
      </c>
      <c r="I23" s="67">
        <f t="shared" ref="I23:K38" si="34">$L23/4</f>
        <v>70750</v>
      </c>
      <c r="J23" s="67">
        <f t="shared" si="34"/>
        <v>70750</v>
      </c>
      <c r="K23" s="67">
        <f t="shared" si="34"/>
        <v>70750</v>
      </c>
      <c r="L23" s="705">
        <v>283000</v>
      </c>
      <c r="N23" s="209" t="s">
        <v>11</v>
      </c>
      <c r="P23" s="66"/>
      <c r="Q23" s="195">
        <f>INDEX('Apportionment Bases'!AF$6:AF$33,MATCH($N23,'Apportionment Bases'!$A$6:$A$33,0))</f>
        <v>1</v>
      </c>
      <c r="R23" s="195">
        <f>INDEX('Apportionment Bases'!AG$6:AG$33,MATCH($N23,'Apportionment Bases'!$A$6:$A$33,0))</f>
        <v>0</v>
      </c>
      <c r="S23" s="199"/>
      <c r="T23" s="195">
        <f>INDEX('Apportionment Bases'!AI$6:AI$33,MATCH($N23,'Apportionment Bases'!$A$6:$A$33,0))</f>
        <v>0</v>
      </c>
      <c r="V23" s="66"/>
      <c r="W23" s="72">
        <f t="shared" si="13"/>
        <v>283000</v>
      </c>
      <c r="X23" s="72">
        <f>$L23*R23</f>
        <v>0</v>
      </c>
      <c r="Y23" s="66"/>
      <c r="Z23" s="72">
        <f>$L23*T23</f>
        <v>0</v>
      </c>
      <c r="AA23" s="266" t="str">
        <f>IF(SUM(V23:Z23)=L23,"TRUE","FALSE")</f>
        <v>TRUE</v>
      </c>
      <c r="AH23" s="301"/>
      <c r="AO23" s="79"/>
      <c r="AP23" s="44">
        <f t="shared" ref="AP23:AP54" si="35">$AD$7*W23</f>
        <v>0</v>
      </c>
      <c r="AQ23" s="44">
        <f t="shared" ref="AQ23:AQ54" si="36">$AE$7*X23</f>
        <v>0</v>
      </c>
      <c r="AR23" s="81"/>
      <c r="AS23" s="72">
        <f t="shared" ref="AS23:AS54" si="37">$AG$7*Z23</f>
        <v>0</v>
      </c>
      <c r="AT23" s="301"/>
      <c r="AU23" s="79"/>
      <c r="AV23" s="72">
        <f t="shared" ref="AV23:AV54" si="38">$AD$8*W23</f>
        <v>118225.75360419396</v>
      </c>
      <c r="AW23" s="72">
        <f t="shared" ref="AW23:AW54" si="39">$AE$8*X23</f>
        <v>0</v>
      </c>
      <c r="AX23" s="81"/>
      <c r="AY23" s="72">
        <f t="shared" ref="AY23:AY54" si="40">$AG$8*Z23</f>
        <v>0</v>
      </c>
      <c r="AZ23" s="301"/>
      <c r="BA23" s="79"/>
      <c r="BB23" s="72"/>
      <c r="BC23" s="72"/>
      <c r="BD23" s="81"/>
      <c r="BE23" s="72"/>
      <c r="CE23" s="79"/>
      <c r="CF23" s="72">
        <f t="shared" ref="CF23:CF54" si="41">$AD$10*W23</f>
        <v>4636.3040629095676</v>
      </c>
      <c r="CG23" s="72">
        <f t="shared" ref="CG23:CG54" si="42">$AE$10*X23</f>
        <v>0</v>
      </c>
      <c r="CH23" s="81"/>
      <c r="CI23" s="72">
        <f t="shared" ref="CI23:CI54" si="43">$AG$10*Z23</f>
        <v>0</v>
      </c>
      <c r="CJ23" s="301"/>
      <c r="CK23" s="79"/>
      <c r="CL23" s="72">
        <f t="shared" ref="CL23:CL54" si="44">$AD$11*W23</f>
        <v>160137.94233289646</v>
      </c>
      <c r="CM23" s="72">
        <f t="shared" ref="CM23:CM54" si="45">$AE$11*X23</f>
        <v>0</v>
      </c>
      <c r="CN23" s="81"/>
      <c r="CO23" s="72">
        <f t="shared" ref="CO23:CO54" si="46">$AG$11*Z23</f>
        <v>0</v>
      </c>
      <c r="CP23" s="301"/>
    </row>
    <row r="24" spans="1:94" x14ac:dyDescent="0.25">
      <c r="A24" s="3" t="s">
        <v>243</v>
      </c>
      <c r="B24" s="3" t="s">
        <v>67</v>
      </c>
      <c r="C24" s="3" t="s">
        <v>47</v>
      </c>
      <c r="D24" s="3" t="s">
        <v>48</v>
      </c>
      <c r="E24" s="3" t="s">
        <v>48</v>
      </c>
      <c r="F24" s="3" t="s">
        <v>310</v>
      </c>
      <c r="G24" t="s">
        <v>12</v>
      </c>
      <c r="H24" s="67">
        <f t="shared" ref="H24:K55" si="47">$L24/4</f>
        <v>750</v>
      </c>
      <c r="I24" s="67">
        <f t="shared" si="34"/>
        <v>750</v>
      </c>
      <c r="J24" s="67">
        <f t="shared" si="34"/>
        <v>750</v>
      </c>
      <c r="K24" s="67">
        <f t="shared" si="34"/>
        <v>750</v>
      </c>
      <c r="L24" s="705">
        <v>3000</v>
      </c>
      <c r="N24" s="209" t="s">
        <v>12</v>
      </c>
      <c r="P24" s="66"/>
      <c r="Q24" s="195">
        <f>INDEX('Apportionment Bases'!AF$6:AF$33,MATCH($N24,'Apportionment Bases'!$A$6:$A$33,0))</f>
        <v>0.5</v>
      </c>
      <c r="R24" s="195">
        <f>INDEX('Apportionment Bases'!AG$6:AG$33,MATCH($N24,'Apportionment Bases'!$A$6:$A$33,0))</f>
        <v>0</v>
      </c>
      <c r="S24" s="199"/>
      <c r="T24" s="195">
        <f>INDEX('Apportionment Bases'!AI$6:AI$33,MATCH($N24,'Apportionment Bases'!$A$6:$A$33,0))</f>
        <v>0.5</v>
      </c>
      <c r="V24" s="66"/>
      <c r="W24" s="72">
        <f t="shared" si="13"/>
        <v>1500</v>
      </c>
      <c r="X24" s="72">
        <f t="shared" ref="X24:X83" si="48">$L24*R24</f>
        <v>0</v>
      </c>
      <c r="Y24" s="66"/>
      <c r="Z24" s="72">
        <f t="shared" ref="Z24:Z83" si="49">$L24*T24</f>
        <v>1500</v>
      </c>
      <c r="AA24" s="266" t="str">
        <f t="shared" ref="AA24:AA83" si="50">IF(SUM(V24:Z24)=L24,"TRUE","FALSE")</f>
        <v>TRUE</v>
      </c>
      <c r="AH24" s="301"/>
      <c r="AO24" s="79"/>
      <c r="AP24" s="44">
        <f t="shared" si="35"/>
        <v>0</v>
      </c>
      <c r="AQ24" s="44">
        <f t="shared" si="36"/>
        <v>0</v>
      </c>
      <c r="AR24" s="81"/>
      <c r="AS24" s="72">
        <f t="shared" si="37"/>
        <v>438</v>
      </c>
      <c r="AT24" s="301"/>
      <c r="AU24" s="79"/>
      <c r="AV24" s="72">
        <f t="shared" si="38"/>
        <v>626.63826998689376</v>
      </c>
      <c r="AW24" s="72">
        <f t="shared" si="39"/>
        <v>0</v>
      </c>
      <c r="AX24" s="81"/>
      <c r="AY24" s="72">
        <f t="shared" si="40"/>
        <v>448.5</v>
      </c>
      <c r="AZ24" s="301"/>
      <c r="BA24" s="79"/>
      <c r="BB24" s="72"/>
      <c r="BC24" s="72"/>
      <c r="BD24" s="81"/>
      <c r="BE24" s="72"/>
      <c r="CE24" s="79"/>
      <c r="CF24" s="72">
        <f t="shared" si="41"/>
        <v>24.5740498034076</v>
      </c>
      <c r="CG24" s="72">
        <f t="shared" si="42"/>
        <v>0</v>
      </c>
      <c r="CH24" s="81"/>
      <c r="CI24" s="72">
        <f t="shared" si="43"/>
        <v>45</v>
      </c>
      <c r="CJ24" s="301"/>
      <c r="CK24" s="79"/>
      <c r="CL24" s="72">
        <f t="shared" si="44"/>
        <v>848.78768020969858</v>
      </c>
      <c r="CM24" s="72">
        <f t="shared" si="45"/>
        <v>0</v>
      </c>
      <c r="CN24" s="81"/>
      <c r="CO24" s="72">
        <f t="shared" si="46"/>
        <v>568.5</v>
      </c>
      <c r="CP24" s="301"/>
    </row>
    <row r="25" spans="1:94" x14ac:dyDescent="0.25">
      <c r="A25" s="3" t="s">
        <v>243</v>
      </c>
      <c r="B25" s="3" t="s">
        <v>68</v>
      </c>
      <c r="C25" s="3" t="s">
        <v>47</v>
      </c>
      <c r="D25" s="3" t="s">
        <v>48</v>
      </c>
      <c r="E25" s="3" t="s">
        <v>48</v>
      </c>
      <c r="F25" s="3" t="s">
        <v>311</v>
      </c>
      <c r="G25" t="s">
        <v>69</v>
      </c>
      <c r="H25" s="67">
        <f t="shared" si="47"/>
        <v>3250</v>
      </c>
      <c r="I25" s="67">
        <f t="shared" si="34"/>
        <v>3250</v>
      </c>
      <c r="J25" s="67">
        <f t="shared" si="34"/>
        <v>3250</v>
      </c>
      <c r="K25" s="67">
        <f t="shared" si="34"/>
        <v>3250</v>
      </c>
      <c r="L25" s="705">
        <v>13000</v>
      </c>
      <c r="N25" s="209" t="s">
        <v>13</v>
      </c>
      <c r="P25" s="66"/>
      <c r="Q25" s="195">
        <f>INDEX('Apportionment Bases'!AF$6:AF$33,MATCH($N25,'Apportionment Bases'!$A$6:$A$33,0))</f>
        <v>0.9</v>
      </c>
      <c r="R25" s="195">
        <f>INDEX('Apportionment Bases'!AG$6:AG$33,MATCH($N25,'Apportionment Bases'!$A$6:$A$33,0))</f>
        <v>0</v>
      </c>
      <c r="S25" s="199"/>
      <c r="T25" s="195">
        <f>INDEX('Apportionment Bases'!AI$6:AI$33,MATCH($N25,'Apportionment Bases'!$A$6:$A$33,0))</f>
        <v>0.1</v>
      </c>
      <c r="V25" s="66"/>
      <c r="W25" s="72">
        <f t="shared" si="13"/>
        <v>11700</v>
      </c>
      <c r="X25" s="72">
        <f t="shared" si="48"/>
        <v>0</v>
      </c>
      <c r="Y25" s="66"/>
      <c r="Z25" s="72">
        <f t="shared" si="49"/>
        <v>1300</v>
      </c>
      <c r="AA25" s="266" t="str">
        <f t="shared" si="50"/>
        <v>TRUE</v>
      </c>
      <c r="AH25" s="301"/>
      <c r="AO25" s="79"/>
      <c r="AP25" s="44">
        <f t="shared" si="35"/>
        <v>0</v>
      </c>
      <c r="AQ25" s="44">
        <f t="shared" si="36"/>
        <v>0</v>
      </c>
      <c r="AR25" s="81"/>
      <c r="AS25" s="72">
        <f t="shared" si="37"/>
        <v>379.59999999999997</v>
      </c>
      <c r="AT25" s="301"/>
      <c r="AU25" s="79"/>
      <c r="AV25" s="72">
        <f t="shared" si="38"/>
        <v>4887.7785058977715</v>
      </c>
      <c r="AW25" s="72">
        <f t="shared" si="39"/>
        <v>0</v>
      </c>
      <c r="AX25" s="81"/>
      <c r="AY25" s="72">
        <f t="shared" si="40"/>
        <v>388.7</v>
      </c>
      <c r="AZ25" s="301"/>
      <c r="BA25" s="79"/>
      <c r="BB25" s="72"/>
      <c r="BC25" s="72"/>
      <c r="BD25" s="81"/>
      <c r="BE25" s="72"/>
      <c r="CE25" s="79"/>
      <c r="CF25" s="72">
        <f t="shared" si="41"/>
        <v>191.67758846657929</v>
      </c>
      <c r="CG25" s="72">
        <f t="shared" si="42"/>
        <v>0</v>
      </c>
      <c r="CH25" s="81"/>
      <c r="CI25" s="72">
        <f t="shared" si="43"/>
        <v>39</v>
      </c>
      <c r="CJ25" s="301"/>
      <c r="CK25" s="79"/>
      <c r="CL25" s="72">
        <f t="shared" si="44"/>
        <v>6620.5439056356481</v>
      </c>
      <c r="CM25" s="72">
        <f t="shared" si="45"/>
        <v>0</v>
      </c>
      <c r="CN25" s="81"/>
      <c r="CO25" s="72">
        <f t="shared" si="46"/>
        <v>492.7</v>
      </c>
      <c r="CP25" s="301"/>
    </row>
    <row r="26" spans="1:94" x14ac:dyDescent="0.25">
      <c r="A26" s="3" t="s">
        <v>243</v>
      </c>
      <c r="B26" s="3" t="s">
        <v>70</v>
      </c>
      <c r="C26" s="3" t="s">
        <v>47</v>
      </c>
      <c r="D26" s="3" t="s">
        <v>48</v>
      </c>
      <c r="E26" s="3" t="s">
        <v>48</v>
      </c>
      <c r="F26" s="3" t="s">
        <v>312</v>
      </c>
      <c r="G26" t="s">
        <v>14</v>
      </c>
      <c r="H26" s="67">
        <f t="shared" si="47"/>
        <v>25000</v>
      </c>
      <c r="I26" s="67">
        <f t="shared" si="34"/>
        <v>25000</v>
      </c>
      <c r="J26" s="67">
        <f t="shared" si="34"/>
        <v>25000</v>
      </c>
      <c r="K26" s="67">
        <f t="shared" si="34"/>
        <v>25000</v>
      </c>
      <c r="L26" s="705">
        <v>100000</v>
      </c>
      <c r="N26" s="209" t="s">
        <v>14</v>
      </c>
      <c r="P26" s="66"/>
      <c r="Q26" s="195">
        <f>INDEX('Apportionment Bases'!AF$6:AF$33,MATCH($N26,'Apportionment Bases'!$A$6:$A$33,0))</f>
        <v>0.01</v>
      </c>
      <c r="R26" s="195">
        <f>INDEX('Apportionment Bases'!AG$6:AG$33,MATCH($N26,'Apportionment Bases'!$A$6:$A$33,0))</f>
        <v>0.99</v>
      </c>
      <c r="S26" s="199"/>
      <c r="T26" s="195">
        <f>INDEX('Apportionment Bases'!AI$6:AI$33,MATCH($N26,'Apportionment Bases'!$A$6:$A$33,0))</f>
        <v>0</v>
      </c>
      <c r="V26" s="66"/>
      <c r="W26" s="72">
        <f t="shared" si="13"/>
        <v>1000</v>
      </c>
      <c r="X26" s="72">
        <f t="shared" si="48"/>
        <v>99000</v>
      </c>
      <c r="Y26" s="66"/>
      <c r="Z26" s="72">
        <f t="shared" si="49"/>
        <v>0</v>
      </c>
      <c r="AA26" s="266" t="str">
        <f t="shared" si="50"/>
        <v>TRUE</v>
      </c>
      <c r="AH26" s="301"/>
      <c r="AO26" s="79"/>
      <c r="AP26" s="44">
        <f t="shared" si="35"/>
        <v>0</v>
      </c>
      <c r="AQ26" s="44">
        <f t="shared" si="36"/>
        <v>0</v>
      </c>
      <c r="AR26" s="81"/>
      <c r="AS26" s="72">
        <f t="shared" si="37"/>
        <v>0</v>
      </c>
      <c r="AT26" s="301"/>
      <c r="AU26" s="79"/>
      <c r="AV26" s="72">
        <f t="shared" si="38"/>
        <v>417.75884665792915</v>
      </c>
      <c r="AW26" s="72">
        <f t="shared" si="39"/>
        <v>99000</v>
      </c>
      <c r="AX26" s="81"/>
      <c r="AY26" s="72">
        <f t="shared" si="40"/>
        <v>0</v>
      </c>
      <c r="AZ26" s="301"/>
      <c r="BA26" s="79"/>
      <c r="BB26" s="72"/>
      <c r="BC26" s="72"/>
      <c r="BD26" s="81"/>
      <c r="BE26" s="72"/>
      <c r="CE26" s="79"/>
      <c r="CF26" s="72">
        <f t="shared" si="41"/>
        <v>16.382699868938403</v>
      </c>
      <c r="CG26" s="72">
        <f t="shared" si="42"/>
        <v>0</v>
      </c>
      <c r="CH26" s="81"/>
      <c r="CI26" s="72">
        <f t="shared" si="43"/>
        <v>0</v>
      </c>
      <c r="CJ26" s="301"/>
      <c r="CK26" s="79"/>
      <c r="CL26" s="72">
        <f t="shared" si="44"/>
        <v>565.85845347313239</v>
      </c>
      <c r="CM26" s="72">
        <f t="shared" si="45"/>
        <v>0</v>
      </c>
      <c r="CN26" s="81"/>
      <c r="CO26" s="72">
        <f t="shared" si="46"/>
        <v>0</v>
      </c>
      <c r="CP26" s="301"/>
    </row>
    <row r="27" spans="1:94" x14ac:dyDescent="0.25">
      <c r="A27" s="3" t="s">
        <v>243</v>
      </c>
      <c r="B27" s="3" t="s">
        <v>71</v>
      </c>
      <c r="C27" s="6" t="s">
        <v>47</v>
      </c>
      <c r="D27" s="6" t="s">
        <v>48</v>
      </c>
      <c r="E27" s="6" t="s">
        <v>48</v>
      </c>
      <c r="F27" s="6" t="s">
        <v>313</v>
      </c>
      <c r="G27" t="s">
        <v>72</v>
      </c>
      <c r="H27" s="60">
        <f t="shared" si="47"/>
        <v>500</v>
      </c>
      <c r="I27" s="60">
        <f t="shared" si="34"/>
        <v>500</v>
      </c>
      <c r="J27" s="60">
        <f t="shared" si="34"/>
        <v>500</v>
      </c>
      <c r="K27" s="60">
        <f t="shared" si="34"/>
        <v>500</v>
      </c>
      <c r="L27" s="705">
        <v>2000</v>
      </c>
      <c r="M27" s="46"/>
      <c r="N27" s="209" t="s">
        <v>72</v>
      </c>
      <c r="O27" s="46"/>
      <c r="P27" s="113"/>
      <c r="Q27" s="195">
        <f>INDEX('Apportionment Bases'!AF$6:AF$33,MATCH($N27,'Apportionment Bases'!$A$6:$A$33,0))</f>
        <v>0.43</v>
      </c>
      <c r="R27" s="195">
        <f>INDEX('Apportionment Bases'!AG$6:AG$33,MATCH($N27,'Apportionment Bases'!$A$6:$A$33,0))</f>
        <v>0.56999999999999995</v>
      </c>
      <c r="S27" s="199"/>
      <c r="T27" s="195">
        <f>INDEX('Apportionment Bases'!AI$6:AI$33,MATCH($N27,'Apportionment Bases'!$A$6:$A$33,0))</f>
        <v>0</v>
      </c>
      <c r="V27" s="66"/>
      <c r="W27" s="72">
        <f t="shared" si="13"/>
        <v>860</v>
      </c>
      <c r="X27" s="72">
        <f t="shared" si="48"/>
        <v>1140</v>
      </c>
      <c r="Y27" s="66"/>
      <c r="Z27" s="72">
        <f t="shared" si="49"/>
        <v>0</v>
      </c>
      <c r="AA27" s="266" t="str">
        <f t="shared" si="50"/>
        <v>TRUE</v>
      </c>
      <c r="AH27" s="301"/>
      <c r="AO27" s="79"/>
      <c r="AP27" s="44">
        <f t="shared" si="35"/>
        <v>0</v>
      </c>
      <c r="AQ27" s="44">
        <f t="shared" si="36"/>
        <v>0</v>
      </c>
      <c r="AR27" s="81"/>
      <c r="AS27" s="72">
        <f t="shared" si="37"/>
        <v>0</v>
      </c>
      <c r="AT27" s="301"/>
      <c r="AU27" s="79"/>
      <c r="AV27" s="72">
        <f t="shared" si="38"/>
        <v>359.27260812581909</v>
      </c>
      <c r="AW27" s="72">
        <f t="shared" si="39"/>
        <v>1140</v>
      </c>
      <c r="AX27" s="81"/>
      <c r="AY27" s="72">
        <f t="shared" si="40"/>
        <v>0</v>
      </c>
      <c r="AZ27" s="301"/>
      <c r="BA27" s="79"/>
      <c r="BB27" s="72"/>
      <c r="BC27" s="72"/>
      <c r="BD27" s="81"/>
      <c r="BE27" s="72"/>
      <c r="CE27" s="79"/>
      <c r="CF27" s="72">
        <f t="shared" si="41"/>
        <v>14.089121887287025</v>
      </c>
      <c r="CG27" s="72">
        <f t="shared" si="42"/>
        <v>0</v>
      </c>
      <c r="CH27" s="81"/>
      <c r="CI27" s="72">
        <f t="shared" si="43"/>
        <v>0</v>
      </c>
      <c r="CJ27" s="301"/>
      <c r="CK27" s="79"/>
      <c r="CL27" s="72">
        <f t="shared" si="44"/>
        <v>486.63826998689382</v>
      </c>
      <c r="CM27" s="72">
        <f t="shared" si="45"/>
        <v>0</v>
      </c>
      <c r="CN27" s="81"/>
      <c r="CO27" s="72">
        <f t="shared" si="46"/>
        <v>0</v>
      </c>
      <c r="CP27" s="301"/>
    </row>
    <row r="28" spans="1:94" x14ac:dyDescent="0.25">
      <c r="A28" s="3" t="s">
        <v>243</v>
      </c>
      <c r="B28" s="3" t="s">
        <v>73</v>
      </c>
      <c r="C28" s="3" t="s">
        <v>47</v>
      </c>
      <c r="D28" s="3" t="s">
        <v>48</v>
      </c>
      <c r="E28" s="3" t="s">
        <v>48</v>
      </c>
      <c r="F28" s="3" t="s">
        <v>314</v>
      </c>
      <c r="G28" t="s">
        <v>15</v>
      </c>
      <c r="H28" s="67">
        <f t="shared" si="47"/>
        <v>7500</v>
      </c>
      <c r="I28" s="67">
        <f t="shared" si="34"/>
        <v>7500</v>
      </c>
      <c r="J28" s="67">
        <f t="shared" si="34"/>
        <v>7500</v>
      </c>
      <c r="K28" s="67">
        <f t="shared" si="34"/>
        <v>7500</v>
      </c>
      <c r="L28" s="705">
        <v>30000</v>
      </c>
      <c r="N28" s="209" t="s">
        <v>15</v>
      </c>
      <c r="P28" s="66"/>
      <c r="Q28" s="195">
        <f>INDEX('Apportionment Bases'!AF$6:AF$33,MATCH($N28,'Apportionment Bases'!$A$6:$A$33,0))</f>
        <v>1</v>
      </c>
      <c r="R28" s="195">
        <f>INDEX('Apportionment Bases'!AG$6:AG$33,MATCH($N28,'Apportionment Bases'!$A$6:$A$33,0))</f>
        <v>0</v>
      </c>
      <c r="S28" s="199"/>
      <c r="T28" s="195">
        <f>INDEX('Apportionment Bases'!AI$6:AI$33,MATCH($N28,'Apportionment Bases'!$A$6:$A$33,0))</f>
        <v>0</v>
      </c>
      <c r="V28" s="66"/>
      <c r="W28" s="72">
        <f t="shared" si="13"/>
        <v>30000</v>
      </c>
      <c r="X28" s="72">
        <f t="shared" si="48"/>
        <v>0</v>
      </c>
      <c r="Y28" s="66"/>
      <c r="Z28" s="72">
        <f t="shared" si="49"/>
        <v>0</v>
      </c>
      <c r="AA28" s="266" t="str">
        <f t="shared" si="50"/>
        <v>TRUE</v>
      </c>
      <c r="AH28" s="301"/>
      <c r="AO28" s="79"/>
      <c r="AP28" s="44">
        <f t="shared" si="35"/>
        <v>0</v>
      </c>
      <c r="AQ28" s="44">
        <f t="shared" si="36"/>
        <v>0</v>
      </c>
      <c r="AR28" s="81"/>
      <c r="AS28" s="72">
        <f t="shared" si="37"/>
        <v>0</v>
      </c>
      <c r="AT28" s="301"/>
      <c r="AU28" s="79"/>
      <c r="AV28" s="72">
        <f t="shared" si="38"/>
        <v>12532.765399737875</v>
      </c>
      <c r="AW28" s="72">
        <f t="shared" si="39"/>
        <v>0</v>
      </c>
      <c r="AX28" s="81"/>
      <c r="AY28" s="72">
        <f t="shared" si="40"/>
        <v>0</v>
      </c>
      <c r="AZ28" s="301"/>
      <c r="BA28" s="79"/>
      <c r="BB28" s="72"/>
      <c r="BC28" s="72"/>
      <c r="BD28" s="81"/>
      <c r="BE28" s="72"/>
      <c r="CE28" s="79"/>
      <c r="CF28" s="72">
        <f t="shared" si="41"/>
        <v>491.48099606815202</v>
      </c>
      <c r="CG28" s="72">
        <f t="shared" si="42"/>
        <v>0</v>
      </c>
      <c r="CH28" s="81"/>
      <c r="CI28" s="72">
        <f t="shared" si="43"/>
        <v>0</v>
      </c>
      <c r="CJ28" s="301"/>
      <c r="CK28" s="79"/>
      <c r="CL28" s="72">
        <f t="shared" si="44"/>
        <v>16975.753604193971</v>
      </c>
      <c r="CM28" s="72">
        <f t="shared" si="45"/>
        <v>0</v>
      </c>
      <c r="CN28" s="81"/>
      <c r="CO28" s="72">
        <f t="shared" si="46"/>
        <v>0</v>
      </c>
      <c r="CP28" s="301"/>
    </row>
    <row r="29" spans="1:94" x14ac:dyDescent="0.25">
      <c r="A29" s="3" t="s">
        <v>243</v>
      </c>
      <c r="B29" s="3" t="s">
        <v>74</v>
      </c>
      <c r="C29" s="3" t="s">
        <v>47</v>
      </c>
      <c r="D29" s="3" t="s">
        <v>48</v>
      </c>
      <c r="E29" s="3" t="s">
        <v>48</v>
      </c>
      <c r="F29" s="3" t="s">
        <v>315</v>
      </c>
      <c r="G29" t="s">
        <v>16</v>
      </c>
      <c r="H29" s="67">
        <f t="shared" si="47"/>
        <v>21250</v>
      </c>
      <c r="I29" s="67">
        <f t="shared" si="34"/>
        <v>21250</v>
      </c>
      <c r="J29" s="67">
        <f t="shared" si="34"/>
        <v>21250</v>
      </c>
      <c r="K29" s="67">
        <f t="shared" si="34"/>
        <v>21250</v>
      </c>
      <c r="L29" s="705">
        <v>85000</v>
      </c>
      <c r="N29" s="209" t="s">
        <v>16</v>
      </c>
      <c r="P29" s="66"/>
      <c r="Q29" s="195">
        <f>INDEX('Apportionment Bases'!AF$6:AF$33,MATCH($N29,'Apportionment Bases'!$A$6:$A$33,0))</f>
        <v>1</v>
      </c>
      <c r="R29" s="195">
        <f>INDEX('Apportionment Bases'!AG$6:AG$33,MATCH($N29,'Apportionment Bases'!$A$6:$A$33,0))</f>
        <v>0</v>
      </c>
      <c r="S29" s="199"/>
      <c r="T29" s="195">
        <f>INDEX('Apportionment Bases'!AI$6:AI$33,MATCH($N29,'Apportionment Bases'!$A$6:$A$33,0))</f>
        <v>0</v>
      </c>
      <c r="V29" s="66"/>
      <c r="W29" s="72">
        <f t="shared" si="13"/>
        <v>85000</v>
      </c>
      <c r="X29" s="72">
        <f t="shared" si="48"/>
        <v>0</v>
      </c>
      <c r="Y29" s="66"/>
      <c r="Z29" s="72">
        <f t="shared" si="49"/>
        <v>0</v>
      </c>
      <c r="AA29" s="266" t="str">
        <f t="shared" si="50"/>
        <v>TRUE</v>
      </c>
      <c r="AH29" s="301"/>
      <c r="AO29" s="79"/>
      <c r="AP29" s="44">
        <f t="shared" si="35"/>
        <v>0</v>
      </c>
      <c r="AQ29" s="44">
        <f t="shared" si="36"/>
        <v>0</v>
      </c>
      <c r="AR29" s="81"/>
      <c r="AS29" s="72">
        <f t="shared" si="37"/>
        <v>0</v>
      </c>
      <c r="AT29" s="301"/>
      <c r="AU29" s="79"/>
      <c r="AV29" s="72">
        <f t="shared" si="38"/>
        <v>35509.501965923977</v>
      </c>
      <c r="AW29" s="72">
        <f t="shared" si="39"/>
        <v>0</v>
      </c>
      <c r="AX29" s="81"/>
      <c r="AY29" s="72">
        <f t="shared" si="40"/>
        <v>0</v>
      </c>
      <c r="AZ29" s="301"/>
      <c r="BA29" s="79"/>
      <c r="BB29" s="72"/>
      <c r="BC29" s="72"/>
      <c r="BD29" s="81"/>
      <c r="BE29" s="72"/>
      <c r="CE29" s="79"/>
      <c r="CF29" s="72">
        <f t="shared" si="41"/>
        <v>1392.5294888597641</v>
      </c>
      <c r="CG29" s="72">
        <f t="shared" si="42"/>
        <v>0</v>
      </c>
      <c r="CH29" s="81"/>
      <c r="CI29" s="72">
        <f t="shared" si="43"/>
        <v>0</v>
      </c>
      <c r="CJ29" s="301"/>
      <c r="CK29" s="79"/>
      <c r="CL29" s="72">
        <f t="shared" si="44"/>
        <v>48097.968545216252</v>
      </c>
      <c r="CM29" s="72">
        <f t="shared" si="45"/>
        <v>0</v>
      </c>
      <c r="CN29" s="81"/>
      <c r="CO29" s="72">
        <f t="shared" si="46"/>
        <v>0</v>
      </c>
      <c r="CP29" s="301"/>
    </row>
    <row r="30" spans="1:94" x14ac:dyDescent="0.25">
      <c r="A30" s="3" t="s">
        <v>243</v>
      </c>
      <c r="B30" s="3" t="s">
        <v>75</v>
      </c>
      <c r="C30" s="3" t="s">
        <v>47</v>
      </c>
      <c r="D30" s="3" t="s">
        <v>48</v>
      </c>
      <c r="E30" s="3" t="s">
        <v>48</v>
      </c>
      <c r="F30" s="3" t="s">
        <v>316</v>
      </c>
      <c r="G30" t="s">
        <v>295</v>
      </c>
      <c r="H30" s="67">
        <f t="shared" si="47"/>
        <v>0</v>
      </c>
      <c r="I30" s="67">
        <f t="shared" si="34"/>
        <v>0</v>
      </c>
      <c r="J30" s="67">
        <f t="shared" si="34"/>
        <v>0</v>
      </c>
      <c r="K30" s="67">
        <f t="shared" si="34"/>
        <v>0</v>
      </c>
      <c r="L30" s="705">
        <v>0</v>
      </c>
      <c r="N30" s="206" t="s">
        <v>705</v>
      </c>
      <c r="P30" s="66"/>
      <c r="Q30" s="195">
        <f>INDEX('Apportionment Bases'!AF$6:AF$33,MATCH($N30,'Apportionment Bases'!$A$6:$A$33,0))</f>
        <v>0</v>
      </c>
      <c r="R30" s="195">
        <f>INDEX('Apportionment Bases'!AG$6:AG$33,MATCH($N30,'Apportionment Bases'!$A$6:$A$33,0))</f>
        <v>0</v>
      </c>
      <c r="S30" s="199"/>
      <c r="T30" s="195">
        <f>INDEX('Apportionment Bases'!AI$6:AI$33,MATCH($N30,'Apportionment Bases'!$A$6:$A$33,0))</f>
        <v>1</v>
      </c>
      <c r="V30" s="66"/>
      <c r="W30" s="72">
        <f t="shared" si="13"/>
        <v>0</v>
      </c>
      <c r="X30" s="72">
        <f t="shared" si="48"/>
        <v>0</v>
      </c>
      <c r="Y30" s="66"/>
      <c r="Z30" s="72">
        <f t="shared" si="49"/>
        <v>0</v>
      </c>
      <c r="AA30" s="266" t="str">
        <f t="shared" si="50"/>
        <v>TRUE</v>
      </c>
      <c r="AH30" s="301"/>
      <c r="AO30" s="79"/>
      <c r="AP30" s="44">
        <f t="shared" si="35"/>
        <v>0</v>
      </c>
      <c r="AQ30" s="44">
        <f t="shared" si="36"/>
        <v>0</v>
      </c>
      <c r="AR30" s="81"/>
      <c r="AS30" s="72">
        <f t="shared" si="37"/>
        <v>0</v>
      </c>
      <c r="AT30" s="301"/>
      <c r="AU30" s="79"/>
      <c r="AV30" s="72">
        <f t="shared" si="38"/>
        <v>0</v>
      </c>
      <c r="AW30" s="72">
        <f t="shared" si="39"/>
        <v>0</v>
      </c>
      <c r="AX30" s="81"/>
      <c r="AY30" s="72">
        <f t="shared" si="40"/>
        <v>0</v>
      </c>
      <c r="AZ30" s="301"/>
      <c r="BA30" s="79"/>
      <c r="BB30" s="72"/>
      <c r="BC30" s="72"/>
      <c r="BD30" s="81"/>
      <c r="BE30" s="72"/>
      <c r="CE30" s="79"/>
      <c r="CF30" s="72">
        <f t="shared" si="41"/>
        <v>0</v>
      </c>
      <c r="CG30" s="72">
        <f t="shared" si="42"/>
        <v>0</v>
      </c>
      <c r="CH30" s="81"/>
      <c r="CI30" s="72">
        <f t="shared" si="43"/>
        <v>0</v>
      </c>
      <c r="CJ30" s="301"/>
      <c r="CK30" s="79"/>
      <c r="CL30" s="72">
        <f t="shared" si="44"/>
        <v>0</v>
      </c>
      <c r="CM30" s="72">
        <f t="shared" si="45"/>
        <v>0</v>
      </c>
      <c r="CN30" s="81"/>
      <c r="CO30" s="72">
        <f t="shared" si="46"/>
        <v>0</v>
      </c>
      <c r="CP30" s="301"/>
    </row>
    <row r="31" spans="1:94" s="46" customFormat="1" x14ac:dyDescent="0.25">
      <c r="A31" s="149" t="s">
        <v>243</v>
      </c>
      <c r="B31" s="149" t="s">
        <v>77</v>
      </c>
      <c r="C31" s="149" t="s">
        <v>45</v>
      </c>
      <c r="D31" s="149" t="s">
        <v>48</v>
      </c>
      <c r="E31" s="149" t="s">
        <v>48</v>
      </c>
      <c r="F31" s="149" t="s">
        <v>317</v>
      </c>
      <c r="G31" s="150" t="s">
        <v>78</v>
      </c>
      <c r="H31" s="151">
        <f t="shared" si="47"/>
        <v>2375</v>
      </c>
      <c r="I31" s="151">
        <f t="shared" si="34"/>
        <v>2375</v>
      </c>
      <c r="J31" s="151">
        <f t="shared" si="34"/>
        <v>2375</v>
      </c>
      <c r="K31" s="151">
        <f t="shared" si="34"/>
        <v>2375</v>
      </c>
      <c r="L31" s="712">
        <v>9500</v>
      </c>
      <c r="N31" s="209" t="s">
        <v>17</v>
      </c>
      <c r="P31" s="113"/>
      <c r="Q31" s="195">
        <f>INDEX('Apportionment Bases'!AF$6:AF$33,MATCH($N31,'Apportionment Bases'!$A$6:$A$33,0))</f>
        <v>0.5</v>
      </c>
      <c r="R31" s="195">
        <f>INDEX('Apportionment Bases'!AG$6:AG$33,MATCH($N31,'Apportionment Bases'!$A$6:$A$33,0))</f>
        <v>0.5</v>
      </c>
      <c r="S31" s="199"/>
      <c r="T31" s="195">
        <f>INDEX('Apportionment Bases'!AI$6:AI$33,MATCH($N31,'Apportionment Bases'!$A$6:$A$33,0))</f>
        <v>0</v>
      </c>
      <c r="V31" s="113"/>
      <c r="W31" s="72">
        <f t="shared" si="13"/>
        <v>4750</v>
      </c>
      <c r="X31" s="72">
        <f t="shared" si="48"/>
        <v>4750</v>
      </c>
      <c r="Y31" s="113"/>
      <c r="Z31" s="72">
        <f t="shared" si="49"/>
        <v>0</v>
      </c>
      <c r="AA31" s="266" t="str">
        <f t="shared" si="50"/>
        <v>TRUE</v>
      </c>
      <c r="AH31" s="319"/>
      <c r="AO31" s="114"/>
      <c r="AP31" s="44">
        <f t="shared" si="35"/>
        <v>0</v>
      </c>
      <c r="AQ31" s="44">
        <f t="shared" si="36"/>
        <v>0</v>
      </c>
      <c r="AR31" s="115"/>
      <c r="AS31" s="72">
        <f t="shared" si="37"/>
        <v>0</v>
      </c>
      <c r="AT31" s="319"/>
      <c r="AU31" s="114"/>
      <c r="AV31" s="72">
        <f t="shared" si="38"/>
        <v>1984.3545216251637</v>
      </c>
      <c r="AW31" s="72">
        <f t="shared" si="39"/>
        <v>4750</v>
      </c>
      <c r="AX31" s="115"/>
      <c r="AY31" s="72">
        <f t="shared" si="40"/>
        <v>0</v>
      </c>
      <c r="AZ31" s="319"/>
      <c r="BA31" s="114"/>
      <c r="BB31" s="72"/>
      <c r="BC31" s="72"/>
      <c r="BD31" s="115"/>
      <c r="BE31" s="72"/>
      <c r="CE31" s="114"/>
      <c r="CF31" s="72">
        <f t="shared" si="41"/>
        <v>77.817824377457399</v>
      </c>
      <c r="CG31" s="72">
        <f t="shared" si="42"/>
        <v>0</v>
      </c>
      <c r="CH31" s="115"/>
      <c r="CI31" s="72">
        <f t="shared" si="43"/>
        <v>0</v>
      </c>
      <c r="CJ31" s="319"/>
      <c r="CK31" s="114"/>
      <c r="CL31" s="72">
        <f t="shared" si="44"/>
        <v>2687.8276539973785</v>
      </c>
      <c r="CM31" s="72">
        <f t="shared" si="45"/>
        <v>0</v>
      </c>
      <c r="CN31" s="115"/>
      <c r="CO31" s="72">
        <f t="shared" si="46"/>
        <v>0</v>
      </c>
      <c r="CP31" s="319"/>
    </row>
    <row r="32" spans="1:94" x14ac:dyDescent="0.25">
      <c r="A32" s="3" t="s">
        <v>243</v>
      </c>
      <c r="B32" s="3" t="s">
        <v>79</v>
      </c>
      <c r="C32" s="3" t="s">
        <v>47</v>
      </c>
      <c r="D32" s="3" t="s">
        <v>48</v>
      </c>
      <c r="E32" s="3" t="s">
        <v>48</v>
      </c>
      <c r="F32" s="3" t="s">
        <v>318</v>
      </c>
      <c r="G32" t="s">
        <v>18</v>
      </c>
      <c r="H32" s="67">
        <f t="shared" si="47"/>
        <v>7500</v>
      </c>
      <c r="I32" s="67">
        <f t="shared" si="34"/>
        <v>7500</v>
      </c>
      <c r="J32" s="67">
        <f t="shared" si="34"/>
        <v>7500</v>
      </c>
      <c r="K32" s="67">
        <f t="shared" si="34"/>
        <v>7500</v>
      </c>
      <c r="L32" s="705">
        <v>30000</v>
      </c>
      <c r="N32" s="209" t="s">
        <v>3</v>
      </c>
      <c r="P32" s="66"/>
      <c r="Q32" s="195">
        <f>INDEX('Apportionment Bases'!AF$6:AF$33,MATCH($N32,'Apportionment Bases'!$A$6:$A$33,0))</f>
        <v>1</v>
      </c>
      <c r="R32" s="195">
        <f>INDEX('Apportionment Bases'!AG$6:AG$33,MATCH($N32,'Apportionment Bases'!$A$6:$A$33,0))</f>
        <v>0</v>
      </c>
      <c r="S32" s="199"/>
      <c r="T32" s="195">
        <f>INDEX('Apportionment Bases'!AI$6:AI$33,MATCH($N32,'Apportionment Bases'!$A$6:$A$33,0))</f>
        <v>0</v>
      </c>
      <c r="V32" s="66"/>
      <c r="W32" s="72">
        <f t="shared" si="13"/>
        <v>30000</v>
      </c>
      <c r="X32" s="72">
        <f t="shared" si="48"/>
        <v>0</v>
      </c>
      <c r="Y32" s="66"/>
      <c r="Z32" s="72">
        <f t="shared" si="49"/>
        <v>0</v>
      </c>
      <c r="AA32" s="266" t="str">
        <f t="shared" si="50"/>
        <v>TRUE</v>
      </c>
      <c r="AH32" s="301"/>
      <c r="AO32" s="79"/>
      <c r="AP32" s="44">
        <f t="shared" si="35"/>
        <v>0</v>
      </c>
      <c r="AQ32" s="44">
        <f t="shared" si="36"/>
        <v>0</v>
      </c>
      <c r="AR32" s="81"/>
      <c r="AS32" s="72">
        <f t="shared" si="37"/>
        <v>0</v>
      </c>
      <c r="AT32" s="301"/>
      <c r="AU32" s="79"/>
      <c r="AV32" s="72">
        <f t="shared" si="38"/>
        <v>12532.765399737875</v>
      </c>
      <c r="AW32" s="72">
        <f t="shared" si="39"/>
        <v>0</v>
      </c>
      <c r="AX32" s="81"/>
      <c r="AY32" s="72">
        <f t="shared" si="40"/>
        <v>0</v>
      </c>
      <c r="AZ32" s="301"/>
      <c r="BA32" s="79"/>
      <c r="BB32" s="72"/>
      <c r="BC32" s="72"/>
      <c r="BD32" s="81"/>
      <c r="BE32" s="72"/>
      <c r="CE32" s="79"/>
      <c r="CF32" s="72">
        <f t="shared" si="41"/>
        <v>491.48099606815202</v>
      </c>
      <c r="CG32" s="72">
        <f t="shared" si="42"/>
        <v>0</v>
      </c>
      <c r="CH32" s="81"/>
      <c r="CI32" s="72">
        <f t="shared" si="43"/>
        <v>0</v>
      </c>
      <c r="CJ32" s="301"/>
      <c r="CK32" s="79"/>
      <c r="CL32" s="72">
        <f t="shared" si="44"/>
        <v>16975.753604193971</v>
      </c>
      <c r="CM32" s="72">
        <f t="shared" si="45"/>
        <v>0</v>
      </c>
      <c r="CN32" s="81"/>
      <c r="CO32" s="72">
        <f t="shared" si="46"/>
        <v>0</v>
      </c>
      <c r="CP32" s="301"/>
    </row>
    <row r="33" spans="1:94" x14ac:dyDescent="0.25">
      <c r="A33" s="3" t="s">
        <v>243</v>
      </c>
      <c r="B33" s="3" t="s">
        <v>80</v>
      </c>
      <c r="C33" s="3" t="s">
        <v>47</v>
      </c>
      <c r="D33" s="3" t="s">
        <v>48</v>
      </c>
      <c r="E33" s="3" t="s">
        <v>48</v>
      </c>
      <c r="F33" s="3" t="s">
        <v>319</v>
      </c>
      <c r="G33" t="s">
        <v>81</v>
      </c>
      <c r="H33" s="67">
        <f t="shared" si="47"/>
        <v>15000</v>
      </c>
      <c r="I33" s="67">
        <f t="shared" si="34"/>
        <v>15000</v>
      </c>
      <c r="J33" s="67">
        <f t="shared" si="34"/>
        <v>15000</v>
      </c>
      <c r="K33" s="67">
        <f t="shared" si="34"/>
        <v>15000</v>
      </c>
      <c r="L33" s="705">
        <v>60000</v>
      </c>
      <c r="N33" s="206" t="s">
        <v>705</v>
      </c>
      <c r="P33" s="66"/>
      <c r="Q33" s="195">
        <f>INDEX('Apportionment Bases'!AF$6:AF$33,MATCH($N33,'Apportionment Bases'!$A$6:$A$33,0))</f>
        <v>0</v>
      </c>
      <c r="R33" s="195">
        <f>INDEX('Apportionment Bases'!AG$6:AG$33,MATCH($N33,'Apportionment Bases'!$A$6:$A$33,0))</f>
        <v>0</v>
      </c>
      <c r="S33" s="199"/>
      <c r="T33" s="195">
        <f>INDEX('Apportionment Bases'!AI$6:AI$33,MATCH($N33,'Apportionment Bases'!$A$6:$A$33,0))</f>
        <v>1</v>
      </c>
      <c r="V33" s="66"/>
      <c r="W33" s="72">
        <f t="shared" si="13"/>
        <v>0</v>
      </c>
      <c r="X33" s="72">
        <f t="shared" si="48"/>
        <v>0</v>
      </c>
      <c r="Y33" s="66"/>
      <c r="Z33" s="72">
        <f t="shared" si="49"/>
        <v>60000</v>
      </c>
      <c r="AA33" s="266" t="str">
        <f t="shared" si="50"/>
        <v>TRUE</v>
      </c>
      <c r="AH33" s="301"/>
      <c r="AO33" s="79"/>
      <c r="AP33" s="44">
        <f t="shared" si="35"/>
        <v>0</v>
      </c>
      <c r="AQ33" s="44">
        <f t="shared" si="36"/>
        <v>0</v>
      </c>
      <c r="AR33" s="81"/>
      <c r="AS33" s="72">
        <f t="shared" si="37"/>
        <v>17520</v>
      </c>
      <c r="AT33" s="301"/>
      <c r="AU33" s="79"/>
      <c r="AV33" s="72">
        <f t="shared" si="38"/>
        <v>0</v>
      </c>
      <c r="AW33" s="72">
        <f t="shared" si="39"/>
        <v>0</v>
      </c>
      <c r="AX33" s="81"/>
      <c r="AY33" s="72">
        <f t="shared" si="40"/>
        <v>17940</v>
      </c>
      <c r="AZ33" s="301"/>
      <c r="BA33" s="79"/>
      <c r="BB33" s="72"/>
      <c r="BC33" s="72"/>
      <c r="BD33" s="81"/>
      <c r="BE33" s="72"/>
      <c r="CE33" s="79"/>
      <c r="CF33" s="72">
        <f t="shared" si="41"/>
        <v>0</v>
      </c>
      <c r="CG33" s="72">
        <f t="shared" si="42"/>
        <v>0</v>
      </c>
      <c r="CH33" s="81"/>
      <c r="CI33" s="72">
        <f t="shared" si="43"/>
        <v>1800</v>
      </c>
      <c r="CJ33" s="301"/>
      <c r="CK33" s="79"/>
      <c r="CL33" s="72">
        <f t="shared" si="44"/>
        <v>0</v>
      </c>
      <c r="CM33" s="72">
        <f t="shared" si="45"/>
        <v>0</v>
      </c>
      <c r="CN33" s="81"/>
      <c r="CO33" s="72">
        <f t="shared" si="46"/>
        <v>22740</v>
      </c>
      <c r="CP33" s="301"/>
    </row>
    <row r="34" spans="1:94" x14ac:dyDescent="0.25">
      <c r="A34" s="3" t="s">
        <v>243</v>
      </c>
      <c r="B34" s="3" t="s">
        <v>82</v>
      </c>
      <c r="C34" s="3" t="s">
        <v>47</v>
      </c>
      <c r="D34" s="3" t="s">
        <v>48</v>
      </c>
      <c r="E34" s="3" t="s">
        <v>48</v>
      </c>
      <c r="F34" s="3" t="s">
        <v>320</v>
      </c>
      <c r="G34" t="s">
        <v>19</v>
      </c>
      <c r="H34" s="67">
        <f t="shared" si="47"/>
        <v>1250</v>
      </c>
      <c r="I34" s="67">
        <f t="shared" si="34"/>
        <v>1250</v>
      </c>
      <c r="J34" s="67">
        <f t="shared" si="34"/>
        <v>1250</v>
      </c>
      <c r="K34" s="67">
        <f t="shared" si="34"/>
        <v>1250</v>
      </c>
      <c r="L34" s="705">
        <v>5000</v>
      </c>
      <c r="N34" s="206" t="s">
        <v>705</v>
      </c>
      <c r="P34" s="66"/>
      <c r="Q34" s="195">
        <f>INDEX('Apportionment Bases'!AF$6:AF$33,MATCH($N34,'Apportionment Bases'!$A$6:$A$33,0))</f>
        <v>0</v>
      </c>
      <c r="R34" s="195">
        <f>INDEX('Apportionment Bases'!AG$6:AG$33,MATCH($N34,'Apportionment Bases'!$A$6:$A$33,0))</f>
        <v>0</v>
      </c>
      <c r="S34" s="199"/>
      <c r="T34" s="195">
        <f>INDEX('Apportionment Bases'!AI$6:AI$33,MATCH($N34,'Apportionment Bases'!$A$6:$A$33,0))</f>
        <v>1</v>
      </c>
      <c r="V34" s="66"/>
      <c r="W34" s="72">
        <f t="shared" si="13"/>
        <v>0</v>
      </c>
      <c r="X34" s="72">
        <f t="shared" si="48"/>
        <v>0</v>
      </c>
      <c r="Y34" s="66"/>
      <c r="Z34" s="72">
        <f t="shared" si="49"/>
        <v>5000</v>
      </c>
      <c r="AA34" s="266" t="str">
        <f t="shared" si="50"/>
        <v>TRUE</v>
      </c>
      <c r="AH34" s="301"/>
      <c r="AO34" s="79"/>
      <c r="AP34" s="44">
        <f t="shared" si="35"/>
        <v>0</v>
      </c>
      <c r="AQ34" s="44">
        <f t="shared" si="36"/>
        <v>0</v>
      </c>
      <c r="AR34" s="81"/>
      <c r="AS34" s="72">
        <f t="shared" si="37"/>
        <v>1460</v>
      </c>
      <c r="AT34" s="301"/>
      <c r="AU34" s="79"/>
      <c r="AV34" s="72">
        <f t="shared" si="38"/>
        <v>0</v>
      </c>
      <c r="AW34" s="72">
        <f t="shared" si="39"/>
        <v>0</v>
      </c>
      <c r="AX34" s="81"/>
      <c r="AY34" s="72">
        <f t="shared" si="40"/>
        <v>1495</v>
      </c>
      <c r="AZ34" s="301"/>
      <c r="BA34" s="79"/>
      <c r="BB34" s="72"/>
      <c r="BC34" s="72"/>
      <c r="BD34" s="81"/>
      <c r="BE34" s="72"/>
      <c r="CE34" s="79"/>
      <c r="CF34" s="72">
        <f t="shared" si="41"/>
        <v>0</v>
      </c>
      <c r="CG34" s="72">
        <f t="shared" si="42"/>
        <v>0</v>
      </c>
      <c r="CH34" s="81"/>
      <c r="CI34" s="72">
        <f t="shared" si="43"/>
        <v>150</v>
      </c>
      <c r="CJ34" s="301"/>
      <c r="CK34" s="79"/>
      <c r="CL34" s="72">
        <f t="shared" si="44"/>
        <v>0</v>
      </c>
      <c r="CM34" s="72">
        <f t="shared" si="45"/>
        <v>0</v>
      </c>
      <c r="CN34" s="81"/>
      <c r="CO34" s="72">
        <f t="shared" si="46"/>
        <v>1895</v>
      </c>
      <c r="CP34" s="301"/>
    </row>
    <row r="35" spans="1:94" x14ac:dyDescent="0.25">
      <c r="A35" s="3" t="s">
        <v>243</v>
      </c>
      <c r="B35" s="3" t="s">
        <v>82</v>
      </c>
      <c r="C35" s="3" t="s">
        <v>45</v>
      </c>
      <c r="D35" s="3" t="s">
        <v>48</v>
      </c>
      <c r="E35" s="3" t="s">
        <v>48</v>
      </c>
      <c r="F35" s="3" t="s">
        <v>321</v>
      </c>
      <c r="G35" t="s">
        <v>19</v>
      </c>
      <c r="H35" s="67">
        <f t="shared" si="47"/>
        <v>12500</v>
      </c>
      <c r="I35" s="67">
        <f t="shared" si="34"/>
        <v>12500</v>
      </c>
      <c r="J35" s="67">
        <f t="shared" si="34"/>
        <v>12500</v>
      </c>
      <c r="K35" s="67">
        <f t="shared" si="34"/>
        <v>12500</v>
      </c>
      <c r="L35" s="705">
        <v>50000</v>
      </c>
      <c r="N35" s="206" t="s">
        <v>705</v>
      </c>
      <c r="P35" s="66"/>
      <c r="Q35" s="195">
        <f>INDEX('Apportionment Bases'!AF$6:AF$33,MATCH($N35,'Apportionment Bases'!$A$6:$A$33,0))</f>
        <v>0</v>
      </c>
      <c r="R35" s="195">
        <f>INDEX('Apportionment Bases'!AG$6:AG$33,MATCH($N35,'Apportionment Bases'!$A$6:$A$33,0))</f>
        <v>0</v>
      </c>
      <c r="S35" s="199"/>
      <c r="T35" s="195">
        <f>INDEX('Apportionment Bases'!AI$6:AI$33,MATCH($N35,'Apportionment Bases'!$A$6:$A$33,0))</f>
        <v>1</v>
      </c>
      <c r="V35" s="66"/>
      <c r="W35" s="72">
        <f t="shared" si="13"/>
        <v>0</v>
      </c>
      <c r="X35" s="72">
        <f t="shared" si="48"/>
        <v>0</v>
      </c>
      <c r="Y35" s="66"/>
      <c r="Z35" s="72">
        <f t="shared" si="49"/>
        <v>50000</v>
      </c>
      <c r="AA35" s="266" t="str">
        <f t="shared" si="50"/>
        <v>TRUE</v>
      </c>
      <c r="AH35" s="301"/>
      <c r="AO35" s="79"/>
      <c r="AP35" s="44">
        <f t="shared" si="35"/>
        <v>0</v>
      </c>
      <c r="AQ35" s="44">
        <f t="shared" si="36"/>
        <v>0</v>
      </c>
      <c r="AR35" s="81"/>
      <c r="AS35" s="72">
        <f t="shared" si="37"/>
        <v>14599.999999999998</v>
      </c>
      <c r="AT35" s="301"/>
      <c r="AU35" s="79"/>
      <c r="AV35" s="72">
        <f t="shared" si="38"/>
        <v>0</v>
      </c>
      <c r="AW35" s="72">
        <f t="shared" si="39"/>
        <v>0</v>
      </c>
      <c r="AX35" s="81"/>
      <c r="AY35" s="72">
        <f t="shared" si="40"/>
        <v>14950</v>
      </c>
      <c r="AZ35" s="301"/>
      <c r="BA35" s="79"/>
      <c r="BB35" s="72"/>
      <c r="BC35" s="72"/>
      <c r="BD35" s="81"/>
      <c r="BE35" s="72"/>
      <c r="CE35" s="79"/>
      <c r="CF35" s="72">
        <f t="shared" si="41"/>
        <v>0</v>
      </c>
      <c r="CG35" s="72">
        <f t="shared" si="42"/>
        <v>0</v>
      </c>
      <c r="CH35" s="81"/>
      <c r="CI35" s="72">
        <f t="shared" si="43"/>
        <v>1500</v>
      </c>
      <c r="CJ35" s="301"/>
      <c r="CK35" s="79"/>
      <c r="CL35" s="72">
        <f t="shared" si="44"/>
        <v>0</v>
      </c>
      <c r="CM35" s="72">
        <f t="shared" si="45"/>
        <v>0</v>
      </c>
      <c r="CN35" s="81"/>
      <c r="CO35" s="72">
        <f t="shared" si="46"/>
        <v>18950</v>
      </c>
      <c r="CP35" s="301"/>
    </row>
    <row r="36" spans="1:94" x14ac:dyDescent="0.25">
      <c r="A36" s="3" t="s">
        <v>243</v>
      </c>
      <c r="B36" s="3" t="s">
        <v>83</v>
      </c>
      <c r="C36" s="3" t="s">
        <v>47</v>
      </c>
      <c r="D36" s="3" t="s">
        <v>48</v>
      </c>
      <c r="E36" s="3" t="s">
        <v>48</v>
      </c>
      <c r="F36" s="3" t="s">
        <v>322</v>
      </c>
      <c r="G36" t="s">
        <v>20</v>
      </c>
      <c r="H36" s="67">
        <f t="shared" si="47"/>
        <v>1250</v>
      </c>
      <c r="I36" s="67">
        <f t="shared" si="34"/>
        <v>1250</v>
      </c>
      <c r="J36" s="67">
        <f t="shared" si="34"/>
        <v>1250</v>
      </c>
      <c r="K36" s="67">
        <f t="shared" si="34"/>
        <v>1250</v>
      </c>
      <c r="L36" s="705">
        <v>5000</v>
      </c>
      <c r="N36" s="206" t="s">
        <v>705</v>
      </c>
      <c r="P36" s="66"/>
      <c r="Q36" s="195">
        <f>INDEX('Apportionment Bases'!AF$6:AF$33,MATCH($N36,'Apportionment Bases'!$A$6:$A$33,0))</f>
        <v>0</v>
      </c>
      <c r="R36" s="195">
        <f>INDEX('Apportionment Bases'!AG$6:AG$33,MATCH($N36,'Apportionment Bases'!$A$6:$A$33,0))</f>
        <v>0</v>
      </c>
      <c r="S36" s="199"/>
      <c r="T36" s="195">
        <f>INDEX('Apportionment Bases'!AI$6:AI$33,MATCH($N36,'Apportionment Bases'!$A$6:$A$33,0))</f>
        <v>1</v>
      </c>
      <c r="V36" s="66"/>
      <c r="W36" s="72">
        <f t="shared" si="13"/>
        <v>0</v>
      </c>
      <c r="X36" s="72">
        <f t="shared" si="48"/>
        <v>0</v>
      </c>
      <c r="Y36" s="66"/>
      <c r="Z36" s="72">
        <f t="shared" si="49"/>
        <v>5000</v>
      </c>
      <c r="AA36" s="266" t="str">
        <f t="shared" si="50"/>
        <v>TRUE</v>
      </c>
      <c r="AH36" s="301"/>
      <c r="AO36" s="79"/>
      <c r="AP36" s="44">
        <f t="shared" si="35"/>
        <v>0</v>
      </c>
      <c r="AQ36" s="44">
        <f t="shared" si="36"/>
        <v>0</v>
      </c>
      <c r="AR36" s="81"/>
      <c r="AS36" s="72">
        <f t="shared" si="37"/>
        <v>1460</v>
      </c>
      <c r="AT36" s="301"/>
      <c r="AU36" s="79"/>
      <c r="AV36" s="72">
        <f t="shared" si="38"/>
        <v>0</v>
      </c>
      <c r="AW36" s="72">
        <f t="shared" si="39"/>
        <v>0</v>
      </c>
      <c r="AX36" s="81"/>
      <c r="AY36" s="72">
        <f t="shared" si="40"/>
        <v>1495</v>
      </c>
      <c r="AZ36" s="301"/>
      <c r="BA36" s="79"/>
      <c r="BB36" s="72"/>
      <c r="BC36" s="72"/>
      <c r="BD36" s="81"/>
      <c r="BE36" s="72"/>
      <c r="CE36" s="79"/>
      <c r="CF36" s="72">
        <f t="shared" si="41"/>
        <v>0</v>
      </c>
      <c r="CG36" s="72">
        <f t="shared" si="42"/>
        <v>0</v>
      </c>
      <c r="CH36" s="81"/>
      <c r="CI36" s="72">
        <f t="shared" si="43"/>
        <v>150</v>
      </c>
      <c r="CJ36" s="301"/>
      <c r="CK36" s="79"/>
      <c r="CL36" s="72">
        <f t="shared" si="44"/>
        <v>0</v>
      </c>
      <c r="CM36" s="72">
        <f t="shared" si="45"/>
        <v>0</v>
      </c>
      <c r="CN36" s="81"/>
      <c r="CO36" s="72">
        <f t="shared" si="46"/>
        <v>1895</v>
      </c>
      <c r="CP36" s="301"/>
    </row>
    <row r="37" spans="1:94" x14ac:dyDescent="0.25">
      <c r="A37" s="3" t="s">
        <v>243</v>
      </c>
      <c r="B37" s="3" t="s">
        <v>83</v>
      </c>
      <c r="C37" s="3" t="s">
        <v>45</v>
      </c>
      <c r="D37" s="3" t="s">
        <v>48</v>
      </c>
      <c r="E37" s="3" t="s">
        <v>48</v>
      </c>
      <c r="F37" s="3" t="s">
        <v>323</v>
      </c>
      <c r="G37" t="s">
        <v>20</v>
      </c>
      <c r="H37" s="67">
        <f t="shared" si="47"/>
        <v>1125</v>
      </c>
      <c r="I37" s="67">
        <f t="shared" si="34"/>
        <v>1125</v>
      </c>
      <c r="J37" s="67">
        <f t="shared" si="34"/>
        <v>1125</v>
      </c>
      <c r="K37" s="67">
        <f t="shared" si="34"/>
        <v>1125</v>
      </c>
      <c r="L37" s="705">
        <v>4500</v>
      </c>
      <c r="N37" s="206" t="s">
        <v>705</v>
      </c>
      <c r="P37" s="66"/>
      <c r="Q37" s="195">
        <f>INDEX('Apportionment Bases'!AF$6:AF$33,MATCH($N37,'Apportionment Bases'!$A$6:$A$33,0))</f>
        <v>0</v>
      </c>
      <c r="R37" s="195">
        <f>INDEX('Apportionment Bases'!AG$6:AG$33,MATCH($N37,'Apportionment Bases'!$A$6:$A$33,0))</f>
        <v>0</v>
      </c>
      <c r="S37" s="199"/>
      <c r="T37" s="195">
        <f>INDEX('Apportionment Bases'!AI$6:AI$33,MATCH($N37,'Apportionment Bases'!$A$6:$A$33,0))</f>
        <v>1</v>
      </c>
      <c r="V37" s="66"/>
      <c r="W37" s="72">
        <f t="shared" si="13"/>
        <v>0</v>
      </c>
      <c r="X37" s="72">
        <f t="shared" si="48"/>
        <v>0</v>
      </c>
      <c r="Y37" s="66"/>
      <c r="Z37" s="72">
        <f t="shared" si="49"/>
        <v>4500</v>
      </c>
      <c r="AA37" s="266" t="str">
        <f t="shared" si="50"/>
        <v>TRUE</v>
      </c>
      <c r="AH37" s="301"/>
      <c r="AO37" s="79"/>
      <c r="AP37" s="44">
        <f t="shared" si="35"/>
        <v>0</v>
      </c>
      <c r="AQ37" s="44">
        <f t="shared" si="36"/>
        <v>0</v>
      </c>
      <c r="AR37" s="81"/>
      <c r="AS37" s="72">
        <f t="shared" si="37"/>
        <v>1314</v>
      </c>
      <c r="AT37" s="301"/>
      <c r="AU37" s="79"/>
      <c r="AV37" s="72">
        <f t="shared" si="38"/>
        <v>0</v>
      </c>
      <c r="AW37" s="72">
        <f t="shared" si="39"/>
        <v>0</v>
      </c>
      <c r="AX37" s="81"/>
      <c r="AY37" s="72">
        <f t="shared" si="40"/>
        <v>1345.5</v>
      </c>
      <c r="AZ37" s="301"/>
      <c r="BA37" s="79"/>
      <c r="BB37" s="72"/>
      <c r="BC37" s="72"/>
      <c r="BD37" s="81"/>
      <c r="BE37" s="72"/>
      <c r="CE37" s="79"/>
      <c r="CF37" s="72">
        <f t="shared" si="41"/>
        <v>0</v>
      </c>
      <c r="CG37" s="72">
        <f t="shared" si="42"/>
        <v>0</v>
      </c>
      <c r="CH37" s="81"/>
      <c r="CI37" s="72">
        <f t="shared" si="43"/>
        <v>135</v>
      </c>
      <c r="CJ37" s="301"/>
      <c r="CK37" s="79"/>
      <c r="CL37" s="72">
        <f t="shared" si="44"/>
        <v>0</v>
      </c>
      <c r="CM37" s="72">
        <f t="shared" si="45"/>
        <v>0</v>
      </c>
      <c r="CN37" s="81"/>
      <c r="CO37" s="72">
        <f t="shared" si="46"/>
        <v>1705.5</v>
      </c>
      <c r="CP37" s="301"/>
    </row>
    <row r="38" spans="1:94" x14ac:dyDescent="0.25">
      <c r="A38" s="3" t="s">
        <v>243</v>
      </c>
      <c r="B38" s="3" t="s">
        <v>84</v>
      </c>
      <c r="C38" s="3" t="s">
        <v>47</v>
      </c>
      <c r="D38" s="3" t="s">
        <v>48</v>
      </c>
      <c r="E38" s="3" t="s">
        <v>48</v>
      </c>
      <c r="F38" s="3" t="s">
        <v>324</v>
      </c>
      <c r="G38" t="s">
        <v>21</v>
      </c>
      <c r="H38" s="67">
        <f t="shared" si="47"/>
        <v>0</v>
      </c>
      <c r="I38" s="67">
        <f t="shared" si="34"/>
        <v>0</v>
      </c>
      <c r="J38" s="67">
        <f t="shared" si="34"/>
        <v>0</v>
      </c>
      <c r="K38" s="67">
        <f t="shared" si="34"/>
        <v>0</v>
      </c>
      <c r="L38" s="705">
        <v>0</v>
      </c>
      <c r="N38" s="206" t="s">
        <v>705</v>
      </c>
      <c r="P38" s="66"/>
      <c r="Q38" s="195">
        <f>INDEX('Apportionment Bases'!AF$6:AF$33,MATCH($N38,'Apportionment Bases'!$A$6:$A$33,0))</f>
        <v>0</v>
      </c>
      <c r="R38" s="195">
        <f>INDEX('Apportionment Bases'!AG$6:AG$33,MATCH($N38,'Apportionment Bases'!$A$6:$A$33,0))</f>
        <v>0</v>
      </c>
      <c r="S38" s="199"/>
      <c r="T38" s="195">
        <f>INDEX('Apportionment Bases'!AI$6:AI$33,MATCH($N38,'Apportionment Bases'!$A$6:$A$33,0))</f>
        <v>1</v>
      </c>
      <c r="V38" s="66"/>
      <c r="W38" s="72">
        <f t="shared" si="13"/>
        <v>0</v>
      </c>
      <c r="X38" s="72">
        <f t="shared" si="48"/>
        <v>0</v>
      </c>
      <c r="Y38" s="66"/>
      <c r="Z38" s="72">
        <f t="shared" si="49"/>
        <v>0</v>
      </c>
      <c r="AA38" s="266" t="str">
        <f t="shared" si="50"/>
        <v>TRUE</v>
      </c>
      <c r="AH38" s="301"/>
      <c r="AO38" s="79"/>
      <c r="AP38" s="44">
        <f t="shared" si="35"/>
        <v>0</v>
      </c>
      <c r="AQ38" s="44">
        <f t="shared" si="36"/>
        <v>0</v>
      </c>
      <c r="AR38" s="81"/>
      <c r="AS38" s="72">
        <f t="shared" si="37"/>
        <v>0</v>
      </c>
      <c r="AT38" s="301"/>
      <c r="AU38" s="79"/>
      <c r="AV38" s="72">
        <f t="shared" si="38"/>
        <v>0</v>
      </c>
      <c r="AW38" s="72">
        <f t="shared" si="39"/>
        <v>0</v>
      </c>
      <c r="AX38" s="81"/>
      <c r="AY38" s="72">
        <f t="shared" si="40"/>
        <v>0</v>
      </c>
      <c r="AZ38" s="301"/>
      <c r="BA38" s="79"/>
      <c r="BB38" s="72"/>
      <c r="BC38" s="72"/>
      <c r="BD38" s="81"/>
      <c r="BE38" s="72"/>
      <c r="CE38" s="79"/>
      <c r="CF38" s="72">
        <f t="shared" si="41"/>
        <v>0</v>
      </c>
      <c r="CG38" s="72">
        <f t="shared" si="42"/>
        <v>0</v>
      </c>
      <c r="CH38" s="81"/>
      <c r="CI38" s="72">
        <f t="shared" si="43"/>
        <v>0</v>
      </c>
      <c r="CJ38" s="301"/>
      <c r="CK38" s="79"/>
      <c r="CL38" s="72">
        <f t="shared" si="44"/>
        <v>0</v>
      </c>
      <c r="CM38" s="72">
        <f t="shared" si="45"/>
        <v>0</v>
      </c>
      <c r="CN38" s="81"/>
      <c r="CO38" s="72">
        <f t="shared" si="46"/>
        <v>0</v>
      </c>
      <c r="CP38" s="301"/>
    </row>
    <row r="39" spans="1:94" x14ac:dyDescent="0.25">
      <c r="A39" s="3" t="s">
        <v>243</v>
      </c>
      <c r="B39" s="3" t="s">
        <v>86</v>
      </c>
      <c r="C39" s="3" t="s">
        <v>47</v>
      </c>
      <c r="D39" s="3" t="s">
        <v>48</v>
      </c>
      <c r="E39" s="3" t="s">
        <v>48</v>
      </c>
      <c r="F39" s="3" t="s">
        <v>325</v>
      </c>
      <c r="G39" t="s">
        <v>87</v>
      </c>
      <c r="H39" s="67">
        <f t="shared" si="47"/>
        <v>16750</v>
      </c>
      <c r="I39" s="67">
        <f t="shared" si="47"/>
        <v>16750</v>
      </c>
      <c r="J39" s="67">
        <f t="shared" si="47"/>
        <v>16750</v>
      </c>
      <c r="K39" s="67">
        <f t="shared" si="47"/>
        <v>16750</v>
      </c>
      <c r="L39" s="705">
        <v>67000</v>
      </c>
      <c r="N39" s="206" t="s">
        <v>705</v>
      </c>
      <c r="P39" s="66"/>
      <c r="Q39" s="195">
        <f>INDEX('Apportionment Bases'!AF$6:AF$33,MATCH($N39,'Apportionment Bases'!$A$6:$A$33,0))</f>
        <v>0</v>
      </c>
      <c r="R39" s="195">
        <f>INDEX('Apportionment Bases'!AG$6:AG$33,MATCH($N39,'Apportionment Bases'!$A$6:$A$33,0))</f>
        <v>0</v>
      </c>
      <c r="S39" s="199"/>
      <c r="T39" s="195">
        <f>INDEX('Apportionment Bases'!AI$6:AI$33,MATCH($N39,'Apportionment Bases'!$A$6:$A$33,0))</f>
        <v>1</v>
      </c>
      <c r="V39" s="66"/>
      <c r="W39" s="72">
        <f t="shared" si="13"/>
        <v>0</v>
      </c>
      <c r="X39" s="72">
        <f t="shared" si="48"/>
        <v>0</v>
      </c>
      <c r="Y39" s="66"/>
      <c r="Z39" s="72">
        <f t="shared" si="49"/>
        <v>67000</v>
      </c>
      <c r="AA39" s="266" t="str">
        <f t="shared" si="50"/>
        <v>TRUE</v>
      </c>
      <c r="AH39" s="301"/>
      <c r="AO39" s="79"/>
      <c r="AP39" s="44">
        <f t="shared" si="35"/>
        <v>0</v>
      </c>
      <c r="AQ39" s="44">
        <f t="shared" si="36"/>
        <v>0</v>
      </c>
      <c r="AR39" s="81"/>
      <c r="AS39" s="72">
        <f t="shared" si="37"/>
        <v>19564</v>
      </c>
      <c r="AT39" s="301"/>
      <c r="AU39" s="79"/>
      <c r="AV39" s="72">
        <f t="shared" si="38"/>
        <v>0</v>
      </c>
      <c r="AW39" s="72">
        <f t="shared" si="39"/>
        <v>0</v>
      </c>
      <c r="AX39" s="81"/>
      <c r="AY39" s="72">
        <f t="shared" si="40"/>
        <v>20033</v>
      </c>
      <c r="AZ39" s="301"/>
      <c r="BA39" s="79"/>
      <c r="BB39" s="72"/>
      <c r="BC39" s="72"/>
      <c r="BD39" s="81"/>
      <c r="BE39" s="72"/>
      <c r="CE39" s="79"/>
      <c r="CF39" s="72">
        <f t="shared" si="41"/>
        <v>0</v>
      </c>
      <c r="CG39" s="72">
        <f t="shared" si="42"/>
        <v>0</v>
      </c>
      <c r="CH39" s="81"/>
      <c r="CI39" s="72">
        <f t="shared" si="43"/>
        <v>2010</v>
      </c>
      <c r="CJ39" s="301"/>
      <c r="CK39" s="79"/>
      <c r="CL39" s="72">
        <f t="shared" si="44"/>
        <v>0</v>
      </c>
      <c r="CM39" s="72">
        <f t="shared" si="45"/>
        <v>0</v>
      </c>
      <c r="CN39" s="81"/>
      <c r="CO39" s="72">
        <f t="shared" si="46"/>
        <v>25393</v>
      </c>
      <c r="CP39" s="301"/>
    </row>
    <row r="40" spans="1:94" x14ac:dyDescent="0.25">
      <c r="A40" s="3" t="s">
        <v>243</v>
      </c>
      <c r="B40" s="3" t="s">
        <v>88</v>
      </c>
      <c r="C40" s="3" t="s">
        <v>47</v>
      </c>
      <c r="D40" s="3" t="s">
        <v>48</v>
      </c>
      <c r="E40" s="3" t="s">
        <v>48</v>
      </c>
      <c r="F40" s="3" t="s">
        <v>326</v>
      </c>
      <c r="G40" t="s">
        <v>89</v>
      </c>
      <c r="H40" s="67">
        <f t="shared" si="47"/>
        <v>1500</v>
      </c>
      <c r="I40" s="67">
        <f t="shared" si="47"/>
        <v>1500</v>
      </c>
      <c r="J40" s="67">
        <f t="shared" si="47"/>
        <v>1500</v>
      </c>
      <c r="K40" s="67">
        <f t="shared" si="47"/>
        <v>1500</v>
      </c>
      <c r="L40" s="705">
        <v>6000</v>
      </c>
      <c r="N40" s="206" t="s">
        <v>705</v>
      </c>
      <c r="P40" s="66"/>
      <c r="Q40" s="195">
        <f>INDEX('Apportionment Bases'!AF$6:AF$33,MATCH($N40,'Apportionment Bases'!$A$6:$A$33,0))</f>
        <v>0</v>
      </c>
      <c r="R40" s="195">
        <f>INDEX('Apportionment Bases'!AG$6:AG$33,MATCH($N40,'Apportionment Bases'!$A$6:$A$33,0))</f>
        <v>0</v>
      </c>
      <c r="S40" s="199"/>
      <c r="T40" s="195">
        <f>INDEX('Apportionment Bases'!AI$6:AI$33,MATCH($N40,'Apportionment Bases'!$A$6:$A$33,0))</f>
        <v>1</v>
      </c>
      <c r="V40" s="66"/>
      <c r="W40" s="72">
        <f t="shared" si="13"/>
        <v>0</v>
      </c>
      <c r="X40" s="72">
        <f t="shared" si="48"/>
        <v>0</v>
      </c>
      <c r="Y40" s="66"/>
      <c r="Z40" s="72">
        <f t="shared" si="49"/>
        <v>6000</v>
      </c>
      <c r="AA40" s="266" t="str">
        <f t="shared" si="50"/>
        <v>TRUE</v>
      </c>
      <c r="AH40" s="301"/>
      <c r="AO40" s="79"/>
      <c r="AP40" s="44">
        <f t="shared" si="35"/>
        <v>0</v>
      </c>
      <c r="AQ40" s="44">
        <f t="shared" si="36"/>
        <v>0</v>
      </c>
      <c r="AR40" s="81"/>
      <c r="AS40" s="72">
        <f t="shared" si="37"/>
        <v>1752</v>
      </c>
      <c r="AT40" s="301"/>
      <c r="AU40" s="79"/>
      <c r="AV40" s="72">
        <f t="shared" si="38"/>
        <v>0</v>
      </c>
      <c r="AW40" s="72">
        <f t="shared" si="39"/>
        <v>0</v>
      </c>
      <c r="AX40" s="81"/>
      <c r="AY40" s="72">
        <f t="shared" si="40"/>
        <v>1794</v>
      </c>
      <c r="AZ40" s="301"/>
      <c r="BA40" s="79"/>
      <c r="BB40" s="72"/>
      <c r="BC40" s="72"/>
      <c r="BD40" s="81"/>
      <c r="BE40" s="72"/>
      <c r="CE40" s="79"/>
      <c r="CF40" s="72">
        <f t="shared" si="41"/>
        <v>0</v>
      </c>
      <c r="CG40" s="72">
        <f t="shared" si="42"/>
        <v>0</v>
      </c>
      <c r="CH40" s="81"/>
      <c r="CI40" s="72">
        <f t="shared" si="43"/>
        <v>180</v>
      </c>
      <c r="CJ40" s="301"/>
      <c r="CK40" s="79"/>
      <c r="CL40" s="72">
        <f t="shared" si="44"/>
        <v>0</v>
      </c>
      <c r="CM40" s="72">
        <f t="shared" si="45"/>
        <v>0</v>
      </c>
      <c r="CN40" s="81"/>
      <c r="CO40" s="72">
        <f t="shared" si="46"/>
        <v>2274</v>
      </c>
      <c r="CP40" s="301"/>
    </row>
    <row r="41" spans="1:94" x14ac:dyDescent="0.25">
      <c r="A41" s="3" t="s">
        <v>243</v>
      </c>
      <c r="B41" s="3" t="s">
        <v>88</v>
      </c>
      <c r="C41" s="3" t="s">
        <v>45</v>
      </c>
      <c r="D41" s="3" t="s">
        <v>48</v>
      </c>
      <c r="E41" s="3" t="s">
        <v>48</v>
      </c>
      <c r="F41" s="3" t="s">
        <v>327</v>
      </c>
      <c r="G41" t="s">
        <v>89</v>
      </c>
      <c r="H41" s="67">
        <f t="shared" si="47"/>
        <v>0</v>
      </c>
      <c r="I41" s="67">
        <f t="shared" si="47"/>
        <v>0</v>
      </c>
      <c r="J41" s="67">
        <f t="shared" si="47"/>
        <v>0</v>
      </c>
      <c r="K41" s="67">
        <f t="shared" si="47"/>
        <v>0</v>
      </c>
      <c r="L41" s="705">
        <v>0</v>
      </c>
      <c r="N41" s="206" t="s">
        <v>705</v>
      </c>
      <c r="P41" s="66"/>
      <c r="Q41" s="195">
        <f>INDEX('Apportionment Bases'!AF$6:AF$33,MATCH($N41,'Apportionment Bases'!$A$6:$A$33,0))</f>
        <v>0</v>
      </c>
      <c r="R41" s="195">
        <f>INDEX('Apportionment Bases'!AG$6:AG$33,MATCH($N41,'Apportionment Bases'!$A$6:$A$33,0))</f>
        <v>0</v>
      </c>
      <c r="S41" s="199"/>
      <c r="T41" s="195">
        <f>INDEX('Apportionment Bases'!AI$6:AI$33,MATCH($N41,'Apportionment Bases'!$A$6:$A$33,0))</f>
        <v>1</v>
      </c>
      <c r="V41" s="66"/>
      <c r="W41" s="72">
        <f t="shared" si="13"/>
        <v>0</v>
      </c>
      <c r="X41" s="72">
        <f t="shared" si="48"/>
        <v>0</v>
      </c>
      <c r="Y41" s="66"/>
      <c r="Z41" s="72">
        <f t="shared" si="49"/>
        <v>0</v>
      </c>
      <c r="AA41" s="266" t="str">
        <f t="shared" si="50"/>
        <v>TRUE</v>
      </c>
      <c r="AH41" s="301"/>
      <c r="AO41" s="79"/>
      <c r="AP41" s="44">
        <f t="shared" si="35"/>
        <v>0</v>
      </c>
      <c r="AQ41" s="44">
        <f t="shared" si="36"/>
        <v>0</v>
      </c>
      <c r="AR41" s="81"/>
      <c r="AS41" s="72">
        <f t="shared" si="37"/>
        <v>0</v>
      </c>
      <c r="AT41" s="301"/>
      <c r="AU41" s="79"/>
      <c r="AV41" s="72">
        <f t="shared" si="38"/>
        <v>0</v>
      </c>
      <c r="AW41" s="72">
        <f t="shared" si="39"/>
        <v>0</v>
      </c>
      <c r="AX41" s="81"/>
      <c r="AY41" s="72">
        <f t="shared" si="40"/>
        <v>0</v>
      </c>
      <c r="AZ41" s="301"/>
      <c r="BA41" s="79"/>
      <c r="BB41" s="72"/>
      <c r="BC41" s="72"/>
      <c r="BD41" s="81"/>
      <c r="BE41" s="72"/>
      <c r="CE41" s="79"/>
      <c r="CF41" s="72">
        <f t="shared" si="41"/>
        <v>0</v>
      </c>
      <c r="CG41" s="72">
        <f t="shared" si="42"/>
        <v>0</v>
      </c>
      <c r="CH41" s="81"/>
      <c r="CI41" s="72">
        <f t="shared" si="43"/>
        <v>0</v>
      </c>
      <c r="CJ41" s="301"/>
      <c r="CK41" s="79"/>
      <c r="CL41" s="72">
        <f t="shared" si="44"/>
        <v>0</v>
      </c>
      <c r="CM41" s="72">
        <f t="shared" si="45"/>
        <v>0</v>
      </c>
      <c r="CN41" s="81"/>
      <c r="CO41" s="72">
        <f t="shared" si="46"/>
        <v>0</v>
      </c>
      <c r="CP41" s="301"/>
    </row>
    <row r="42" spans="1:94" x14ac:dyDescent="0.25">
      <c r="A42" s="3" t="s">
        <v>243</v>
      </c>
      <c r="B42" s="3" t="s">
        <v>90</v>
      </c>
      <c r="C42" s="3" t="s">
        <v>47</v>
      </c>
      <c r="D42" s="3" t="s">
        <v>48</v>
      </c>
      <c r="E42" s="3" t="s">
        <v>48</v>
      </c>
      <c r="F42" s="3" t="s">
        <v>328</v>
      </c>
      <c r="G42" t="s">
        <v>91</v>
      </c>
      <c r="H42" s="67">
        <f t="shared" si="47"/>
        <v>750</v>
      </c>
      <c r="I42" s="67">
        <f t="shared" si="47"/>
        <v>750</v>
      </c>
      <c r="J42" s="67">
        <f t="shared" si="47"/>
        <v>750</v>
      </c>
      <c r="K42" s="67">
        <f t="shared" si="47"/>
        <v>750</v>
      </c>
      <c r="L42" s="705">
        <v>3000</v>
      </c>
      <c r="N42" s="206" t="s">
        <v>705</v>
      </c>
      <c r="P42" s="66"/>
      <c r="Q42" s="195">
        <f>INDEX('Apportionment Bases'!AF$6:AF$33,MATCH($N42,'Apportionment Bases'!$A$6:$A$33,0))</f>
        <v>0</v>
      </c>
      <c r="R42" s="195">
        <f>INDEX('Apportionment Bases'!AG$6:AG$33,MATCH($N42,'Apportionment Bases'!$A$6:$A$33,0))</f>
        <v>0</v>
      </c>
      <c r="S42" s="199"/>
      <c r="T42" s="195">
        <f>INDEX('Apportionment Bases'!AI$6:AI$33,MATCH($N42,'Apportionment Bases'!$A$6:$A$33,0))</f>
        <v>1</v>
      </c>
      <c r="V42" s="66"/>
      <c r="W42" s="72">
        <f t="shared" si="13"/>
        <v>0</v>
      </c>
      <c r="X42" s="72">
        <f t="shared" si="48"/>
        <v>0</v>
      </c>
      <c r="Y42" s="66"/>
      <c r="Z42" s="72">
        <f t="shared" si="49"/>
        <v>3000</v>
      </c>
      <c r="AA42" s="266" t="str">
        <f t="shared" si="50"/>
        <v>TRUE</v>
      </c>
      <c r="AH42" s="301"/>
      <c r="AO42" s="79"/>
      <c r="AP42" s="44">
        <f t="shared" si="35"/>
        <v>0</v>
      </c>
      <c r="AQ42" s="44">
        <f t="shared" si="36"/>
        <v>0</v>
      </c>
      <c r="AR42" s="81"/>
      <c r="AS42" s="72">
        <f t="shared" si="37"/>
        <v>876</v>
      </c>
      <c r="AT42" s="301"/>
      <c r="AU42" s="79"/>
      <c r="AV42" s="72">
        <f t="shared" si="38"/>
        <v>0</v>
      </c>
      <c r="AW42" s="72">
        <f t="shared" si="39"/>
        <v>0</v>
      </c>
      <c r="AX42" s="81"/>
      <c r="AY42" s="72">
        <f t="shared" si="40"/>
        <v>897</v>
      </c>
      <c r="AZ42" s="301"/>
      <c r="BA42" s="79"/>
      <c r="BB42" s="72"/>
      <c r="BC42" s="72"/>
      <c r="BD42" s="81"/>
      <c r="BE42" s="72"/>
      <c r="CE42" s="79"/>
      <c r="CF42" s="72">
        <f t="shared" si="41"/>
        <v>0</v>
      </c>
      <c r="CG42" s="72">
        <f t="shared" si="42"/>
        <v>0</v>
      </c>
      <c r="CH42" s="81"/>
      <c r="CI42" s="72">
        <f t="shared" si="43"/>
        <v>90</v>
      </c>
      <c r="CJ42" s="301"/>
      <c r="CK42" s="79"/>
      <c r="CL42" s="72">
        <f t="shared" si="44"/>
        <v>0</v>
      </c>
      <c r="CM42" s="72">
        <f t="shared" si="45"/>
        <v>0</v>
      </c>
      <c r="CN42" s="81"/>
      <c r="CO42" s="72">
        <f t="shared" si="46"/>
        <v>1137</v>
      </c>
      <c r="CP42" s="301"/>
    </row>
    <row r="43" spans="1:94" x14ac:dyDescent="0.25">
      <c r="A43" s="3" t="s">
        <v>243</v>
      </c>
      <c r="B43" s="3" t="s">
        <v>92</v>
      </c>
      <c r="C43" s="3" t="s">
        <v>47</v>
      </c>
      <c r="D43" s="3" t="s">
        <v>48</v>
      </c>
      <c r="E43" s="3" t="s">
        <v>48</v>
      </c>
      <c r="F43" s="3" t="s">
        <v>329</v>
      </c>
      <c r="G43" t="s">
        <v>93</v>
      </c>
      <c r="H43" s="67">
        <f t="shared" si="47"/>
        <v>1750</v>
      </c>
      <c r="I43" s="67">
        <f t="shared" si="47"/>
        <v>1750</v>
      </c>
      <c r="J43" s="67">
        <f t="shared" si="47"/>
        <v>1750</v>
      </c>
      <c r="K43" s="67">
        <f t="shared" si="47"/>
        <v>1750</v>
      </c>
      <c r="L43" s="705">
        <v>7000</v>
      </c>
      <c r="N43" s="206" t="s">
        <v>705</v>
      </c>
      <c r="P43" s="66"/>
      <c r="Q43" s="195">
        <f>INDEX('Apportionment Bases'!AF$6:AF$33,MATCH($N43,'Apportionment Bases'!$A$6:$A$33,0))</f>
        <v>0</v>
      </c>
      <c r="R43" s="195">
        <f>INDEX('Apportionment Bases'!AG$6:AG$33,MATCH($N43,'Apportionment Bases'!$A$6:$A$33,0))</f>
        <v>0</v>
      </c>
      <c r="S43" s="199"/>
      <c r="T43" s="195">
        <f>INDEX('Apportionment Bases'!AI$6:AI$33,MATCH($N43,'Apportionment Bases'!$A$6:$A$33,0))</f>
        <v>1</v>
      </c>
      <c r="V43" s="66"/>
      <c r="W43" s="72">
        <f t="shared" si="13"/>
        <v>0</v>
      </c>
      <c r="X43" s="72">
        <f t="shared" si="48"/>
        <v>0</v>
      </c>
      <c r="Y43" s="66"/>
      <c r="Z43" s="72">
        <f t="shared" si="49"/>
        <v>7000</v>
      </c>
      <c r="AA43" s="266" t="str">
        <f t="shared" si="50"/>
        <v>TRUE</v>
      </c>
      <c r="AH43" s="301"/>
      <c r="AO43" s="79"/>
      <c r="AP43" s="44">
        <f t="shared" si="35"/>
        <v>0</v>
      </c>
      <c r="AQ43" s="44">
        <f t="shared" si="36"/>
        <v>0</v>
      </c>
      <c r="AR43" s="81"/>
      <c r="AS43" s="72">
        <f t="shared" si="37"/>
        <v>2043.9999999999998</v>
      </c>
      <c r="AT43" s="301"/>
      <c r="AU43" s="79"/>
      <c r="AV43" s="72">
        <f t="shared" si="38"/>
        <v>0</v>
      </c>
      <c r="AW43" s="72">
        <f t="shared" si="39"/>
        <v>0</v>
      </c>
      <c r="AX43" s="81"/>
      <c r="AY43" s="72">
        <f t="shared" si="40"/>
        <v>2093</v>
      </c>
      <c r="AZ43" s="301"/>
      <c r="BA43" s="79"/>
      <c r="BB43" s="72"/>
      <c r="BC43" s="72"/>
      <c r="BD43" s="81"/>
      <c r="BE43" s="72"/>
      <c r="CE43" s="79"/>
      <c r="CF43" s="72">
        <f t="shared" si="41"/>
        <v>0</v>
      </c>
      <c r="CG43" s="72">
        <f t="shared" si="42"/>
        <v>0</v>
      </c>
      <c r="CH43" s="81"/>
      <c r="CI43" s="72">
        <f t="shared" si="43"/>
        <v>210</v>
      </c>
      <c r="CJ43" s="301"/>
      <c r="CK43" s="79"/>
      <c r="CL43" s="72">
        <f t="shared" si="44"/>
        <v>0</v>
      </c>
      <c r="CM43" s="72">
        <f t="shared" si="45"/>
        <v>0</v>
      </c>
      <c r="CN43" s="81"/>
      <c r="CO43" s="72">
        <f t="shared" si="46"/>
        <v>2653</v>
      </c>
      <c r="CP43" s="301"/>
    </row>
    <row r="44" spans="1:94" x14ac:dyDescent="0.25">
      <c r="A44" s="3" t="s">
        <v>243</v>
      </c>
      <c r="B44" s="3" t="s">
        <v>94</v>
      </c>
      <c r="C44" s="3" t="s">
        <v>47</v>
      </c>
      <c r="D44" s="3" t="s">
        <v>48</v>
      </c>
      <c r="E44" s="3" t="s">
        <v>48</v>
      </c>
      <c r="F44" s="3" t="s">
        <v>330</v>
      </c>
      <c r="G44" t="s">
        <v>22</v>
      </c>
      <c r="H44" s="67">
        <f t="shared" si="47"/>
        <v>500</v>
      </c>
      <c r="I44" s="67">
        <f t="shared" si="47"/>
        <v>500</v>
      </c>
      <c r="J44" s="67">
        <f t="shared" si="47"/>
        <v>500</v>
      </c>
      <c r="K44" s="67">
        <f t="shared" si="47"/>
        <v>500</v>
      </c>
      <c r="L44" s="705">
        <v>2000</v>
      </c>
      <c r="N44" s="209" t="s">
        <v>22</v>
      </c>
      <c r="P44" s="66"/>
      <c r="Q44" s="195">
        <f>INDEX('Apportionment Bases'!AF$6:AF$33,MATCH($N44,'Apportionment Bases'!$A$6:$A$33,0))</f>
        <v>1</v>
      </c>
      <c r="R44" s="195">
        <f>INDEX('Apportionment Bases'!AG$6:AG$33,MATCH($N44,'Apportionment Bases'!$A$6:$A$33,0))</f>
        <v>0</v>
      </c>
      <c r="S44" s="199"/>
      <c r="T44" s="195">
        <f>INDEX('Apportionment Bases'!AI$6:AI$33,MATCH($N44,'Apportionment Bases'!$A$6:$A$33,0))</f>
        <v>0</v>
      </c>
      <c r="V44" s="66"/>
      <c r="W44" s="72">
        <f t="shared" si="13"/>
        <v>2000</v>
      </c>
      <c r="X44" s="72">
        <f t="shared" si="48"/>
        <v>0</v>
      </c>
      <c r="Y44" s="66"/>
      <c r="Z44" s="72">
        <f t="shared" si="49"/>
        <v>0</v>
      </c>
      <c r="AA44" s="266" t="str">
        <f t="shared" si="50"/>
        <v>TRUE</v>
      </c>
      <c r="AH44" s="301"/>
      <c r="AO44" s="79"/>
      <c r="AP44" s="44">
        <f t="shared" si="35"/>
        <v>0</v>
      </c>
      <c r="AQ44" s="44">
        <f t="shared" si="36"/>
        <v>0</v>
      </c>
      <c r="AR44" s="81"/>
      <c r="AS44" s="72">
        <f t="shared" si="37"/>
        <v>0</v>
      </c>
      <c r="AT44" s="301"/>
      <c r="AU44" s="79"/>
      <c r="AV44" s="72">
        <f t="shared" si="38"/>
        <v>835.51769331585831</v>
      </c>
      <c r="AW44" s="72">
        <f t="shared" si="39"/>
        <v>0</v>
      </c>
      <c r="AX44" s="81"/>
      <c r="AY44" s="72">
        <f t="shared" si="40"/>
        <v>0</v>
      </c>
      <c r="AZ44" s="301"/>
      <c r="BA44" s="79"/>
      <c r="BB44" s="72"/>
      <c r="BC44" s="72"/>
      <c r="BD44" s="81"/>
      <c r="BE44" s="72"/>
      <c r="CE44" s="79"/>
      <c r="CF44" s="72">
        <f t="shared" si="41"/>
        <v>32.765399737876805</v>
      </c>
      <c r="CG44" s="72">
        <f t="shared" si="42"/>
        <v>0</v>
      </c>
      <c r="CH44" s="81"/>
      <c r="CI44" s="72">
        <f t="shared" si="43"/>
        <v>0</v>
      </c>
      <c r="CJ44" s="301"/>
      <c r="CK44" s="79"/>
      <c r="CL44" s="72">
        <f t="shared" si="44"/>
        <v>1131.7169069462648</v>
      </c>
      <c r="CM44" s="72">
        <f t="shared" si="45"/>
        <v>0</v>
      </c>
      <c r="CN44" s="81"/>
      <c r="CO44" s="72">
        <f t="shared" si="46"/>
        <v>0</v>
      </c>
      <c r="CP44" s="301"/>
    </row>
    <row r="45" spans="1:94" x14ac:dyDescent="0.25">
      <c r="A45" s="3" t="s">
        <v>243</v>
      </c>
      <c r="B45" s="3" t="s">
        <v>95</v>
      </c>
      <c r="C45" s="3" t="s">
        <v>47</v>
      </c>
      <c r="D45" s="3" t="s">
        <v>48</v>
      </c>
      <c r="E45" s="3" t="s">
        <v>48</v>
      </c>
      <c r="F45" s="3" t="s">
        <v>331</v>
      </c>
      <c r="G45" t="s">
        <v>96</v>
      </c>
      <c r="H45" s="67">
        <f t="shared" si="47"/>
        <v>1500</v>
      </c>
      <c r="I45" s="67">
        <f t="shared" si="47"/>
        <v>1500</v>
      </c>
      <c r="J45" s="67">
        <f t="shared" si="47"/>
        <v>1500</v>
      </c>
      <c r="K45" s="67">
        <f t="shared" si="47"/>
        <v>1500</v>
      </c>
      <c r="L45" s="705">
        <v>6000</v>
      </c>
      <c r="N45" s="209" t="s">
        <v>479</v>
      </c>
      <c r="P45" s="66"/>
      <c r="Q45" s="195">
        <f>INDEX('Apportionment Bases'!AF$6:AF$33,MATCH($N45,'Apportionment Bases'!$A$6:$A$33,0))</f>
        <v>0.625</v>
      </c>
      <c r="R45" s="195">
        <f>INDEX('Apportionment Bases'!AG$6:AG$33,MATCH($N45,'Apportionment Bases'!$A$6:$A$33,0))</f>
        <v>0.13</v>
      </c>
      <c r="S45" s="199"/>
      <c r="T45" s="195">
        <f>INDEX('Apportionment Bases'!AI$6:AI$33,MATCH($N45,'Apportionment Bases'!$A$6:$A$33,0))</f>
        <v>0.245</v>
      </c>
      <c r="V45" s="66"/>
      <c r="W45" s="72">
        <f t="shared" si="13"/>
        <v>3750</v>
      </c>
      <c r="X45" s="72">
        <f t="shared" si="48"/>
        <v>780</v>
      </c>
      <c r="Y45" s="66"/>
      <c r="Z45" s="72">
        <f t="shared" si="49"/>
        <v>1470</v>
      </c>
      <c r="AA45" s="266" t="str">
        <f t="shared" si="50"/>
        <v>TRUE</v>
      </c>
      <c r="AH45" s="301"/>
      <c r="AO45" s="79"/>
      <c r="AP45" s="44">
        <f t="shared" si="35"/>
        <v>0</v>
      </c>
      <c r="AQ45" s="44">
        <f t="shared" si="36"/>
        <v>0</v>
      </c>
      <c r="AR45" s="81"/>
      <c r="AS45" s="72">
        <f t="shared" si="37"/>
        <v>429.23999999999995</v>
      </c>
      <c r="AT45" s="301"/>
      <c r="AU45" s="79"/>
      <c r="AV45" s="72">
        <f t="shared" si="38"/>
        <v>1566.5956749672343</v>
      </c>
      <c r="AW45" s="72">
        <f t="shared" si="39"/>
        <v>780</v>
      </c>
      <c r="AX45" s="81"/>
      <c r="AY45" s="72">
        <f t="shared" si="40"/>
        <v>439.53</v>
      </c>
      <c r="AZ45" s="301"/>
      <c r="BA45" s="79"/>
      <c r="BB45" s="72"/>
      <c r="BC45" s="72"/>
      <c r="BD45" s="81"/>
      <c r="BE45" s="72"/>
      <c r="CE45" s="79"/>
      <c r="CF45" s="72">
        <f t="shared" si="41"/>
        <v>61.435124508519003</v>
      </c>
      <c r="CG45" s="72">
        <f t="shared" si="42"/>
        <v>0</v>
      </c>
      <c r="CH45" s="81"/>
      <c r="CI45" s="72">
        <f t="shared" si="43"/>
        <v>44.1</v>
      </c>
      <c r="CJ45" s="301"/>
      <c r="CK45" s="79"/>
      <c r="CL45" s="72">
        <f t="shared" si="44"/>
        <v>2121.9692005242464</v>
      </c>
      <c r="CM45" s="72">
        <f t="shared" si="45"/>
        <v>0</v>
      </c>
      <c r="CN45" s="81"/>
      <c r="CO45" s="72">
        <f t="shared" si="46"/>
        <v>557.13</v>
      </c>
      <c r="CP45" s="301"/>
    </row>
    <row r="46" spans="1:94" x14ac:dyDescent="0.25">
      <c r="A46" s="3" t="s">
        <v>243</v>
      </c>
      <c r="B46" s="3" t="s">
        <v>97</v>
      </c>
      <c r="C46" s="3" t="s">
        <v>47</v>
      </c>
      <c r="D46" s="3" t="s">
        <v>48</v>
      </c>
      <c r="E46" s="3" t="s">
        <v>48</v>
      </c>
      <c r="F46" s="3" t="s">
        <v>332</v>
      </c>
      <c r="G46" t="s">
        <v>98</v>
      </c>
      <c r="H46" s="67">
        <f t="shared" si="47"/>
        <v>1500</v>
      </c>
      <c r="I46" s="67">
        <f t="shared" si="47"/>
        <v>1500</v>
      </c>
      <c r="J46" s="67">
        <f t="shared" si="47"/>
        <v>1500</v>
      </c>
      <c r="K46" s="67">
        <f t="shared" si="47"/>
        <v>1500</v>
      </c>
      <c r="L46" s="705">
        <v>6000</v>
      </c>
      <c r="N46" s="206" t="s">
        <v>705</v>
      </c>
      <c r="P46" s="66"/>
      <c r="Q46" s="195">
        <f>INDEX('Apportionment Bases'!AF$6:AF$33,MATCH($N46,'Apportionment Bases'!$A$6:$A$33,0))</f>
        <v>0</v>
      </c>
      <c r="R46" s="195">
        <f>INDEX('Apportionment Bases'!AG$6:AG$33,MATCH($N46,'Apportionment Bases'!$A$6:$A$33,0))</f>
        <v>0</v>
      </c>
      <c r="S46" s="199"/>
      <c r="T46" s="195">
        <f>INDEX('Apportionment Bases'!AI$6:AI$33,MATCH($N46,'Apportionment Bases'!$A$6:$A$33,0))</f>
        <v>1</v>
      </c>
      <c r="V46" s="66"/>
      <c r="W46" s="72">
        <f t="shared" si="13"/>
        <v>0</v>
      </c>
      <c r="X46" s="72">
        <f t="shared" si="48"/>
        <v>0</v>
      </c>
      <c r="Y46" s="66"/>
      <c r="Z46" s="72">
        <f t="shared" si="49"/>
        <v>6000</v>
      </c>
      <c r="AA46" s="266" t="str">
        <f t="shared" si="50"/>
        <v>TRUE</v>
      </c>
      <c r="AH46" s="301"/>
      <c r="AO46" s="79"/>
      <c r="AP46" s="44">
        <f t="shared" si="35"/>
        <v>0</v>
      </c>
      <c r="AQ46" s="44">
        <f t="shared" si="36"/>
        <v>0</v>
      </c>
      <c r="AR46" s="81"/>
      <c r="AS46" s="72">
        <f t="shared" si="37"/>
        <v>1752</v>
      </c>
      <c r="AT46" s="301"/>
      <c r="AU46" s="79"/>
      <c r="AV46" s="72">
        <f t="shared" si="38"/>
        <v>0</v>
      </c>
      <c r="AW46" s="72">
        <f t="shared" si="39"/>
        <v>0</v>
      </c>
      <c r="AX46" s="81"/>
      <c r="AY46" s="72">
        <f t="shared" si="40"/>
        <v>1794</v>
      </c>
      <c r="AZ46" s="301"/>
      <c r="BA46" s="79"/>
      <c r="BB46" s="72"/>
      <c r="BC46" s="72"/>
      <c r="BD46" s="81"/>
      <c r="BE46" s="72"/>
      <c r="CE46" s="79"/>
      <c r="CF46" s="72">
        <f t="shared" si="41"/>
        <v>0</v>
      </c>
      <c r="CG46" s="72">
        <f t="shared" si="42"/>
        <v>0</v>
      </c>
      <c r="CH46" s="81"/>
      <c r="CI46" s="72">
        <f t="shared" si="43"/>
        <v>180</v>
      </c>
      <c r="CJ46" s="301"/>
      <c r="CK46" s="79"/>
      <c r="CL46" s="72">
        <f t="shared" si="44"/>
        <v>0</v>
      </c>
      <c r="CM46" s="72">
        <f t="shared" si="45"/>
        <v>0</v>
      </c>
      <c r="CN46" s="81"/>
      <c r="CO46" s="72">
        <f t="shared" si="46"/>
        <v>2274</v>
      </c>
      <c r="CP46" s="301"/>
    </row>
    <row r="47" spans="1:94" x14ac:dyDescent="0.25">
      <c r="A47" s="3" t="s">
        <v>243</v>
      </c>
      <c r="B47" s="3" t="s">
        <v>99</v>
      </c>
      <c r="C47" s="3" t="s">
        <v>47</v>
      </c>
      <c r="D47" s="3" t="s">
        <v>48</v>
      </c>
      <c r="E47" s="3" t="s">
        <v>48</v>
      </c>
      <c r="F47" s="3" t="s">
        <v>333</v>
      </c>
      <c r="G47" t="s">
        <v>100</v>
      </c>
      <c r="H47" s="67">
        <f t="shared" si="47"/>
        <v>8660.25</v>
      </c>
      <c r="I47" s="67">
        <f t="shared" si="47"/>
        <v>8660.25</v>
      </c>
      <c r="J47" s="67">
        <f t="shared" si="47"/>
        <v>8660.25</v>
      </c>
      <c r="K47" s="67">
        <f t="shared" si="47"/>
        <v>8660.25</v>
      </c>
      <c r="L47" s="705">
        <v>34641</v>
      </c>
      <c r="N47" s="206" t="s">
        <v>705</v>
      </c>
      <c r="P47" s="66"/>
      <c r="Q47" s="195">
        <f>INDEX('Apportionment Bases'!AF$6:AF$33,MATCH($N47,'Apportionment Bases'!$A$6:$A$33,0))</f>
        <v>0</v>
      </c>
      <c r="R47" s="195">
        <f>INDEX('Apportionment Bases'!AG$6:AG$33,MATCH($N47,'Apportionment Bases'!$A$6:$A$33,0))</f>
        <v>0</v>
      </c>
      <c r="S47" s="199"/>
      <c r="T47" s="195">
        <f>INDEX('Apportionment Bases'!AI$6:AI$33,MATCH($N47,'Apportionment Bases'!$A$6:$A$33,0))</f>
        <v>1</v>
      </c>
      <c r="V47" s="66"/>
      <c r="W47" s="72">
        <f t="shared" si="13"/>
        <v>0</v>
      </c>
      <c r="X47" s="72">
        <f t="shared" si="48"/>
        <v>0</v>
      </c>
      <c r="Y47" s="66"/>
      <c r="Z47" s="72">
        <f t="shared" si="49"/>
        <v>34641</v>
      </c>
      <c r="AA47" s="266" t="str">
        <f t="shared" si="50"/>
        <v>TRUE</v>
      </c>
      <c r="AH47" s="301"/>
      <c r="AO47" s="79"/>
      <c r="AP47" s="44">
        <f t="shared" si="35"/>
        <v>0</v>
      </c>
      <c r="AQ47" s="44">
        <f t="shared" si="36"/>
        <v>0</v>
      </c>
      <c r="AR47" s="81"/>
      <c r="AS47" s="72">
        <f t="shared" si="37"/>
        <v>10115.171999999999</v>
      </c>
      <c r="AT47" s="301"/>
      <c r="AU47" s="79"/>
      <c r="AV47" s="72">
        <f t="shared" si="38"/>
        <v>0</v>
      </c>
      <c r="AW47" s="72">
        <f t="shared" si="39"/>
        <v>0</v>
      </c>
      <c r="AX47" s="81"/>
      <c r="AY47" s="72">
        <f t="shared" si="40"/>
        <v>10357.659</v>
      </c>
      <c r="AZ47" s="301"/>
      <c r="BA47" s="79"/>
      <c r="BB47" s="72"/>
      <c r="BC47" s="72"/>
      <c r="BD47" s="81"/>
      <c r="BE47" s="72"/>
      <c r="CE47" s="79"/>
      <c r="CF47" s="72">
        <f t="shared" si="41"/>
        <v>0</v>
      </c>
      <c r="CG47" s="72">
        <f t="shared" si="42"/>
        <v>0</v>
      </c>
      <c r="CH47" s="81"/>
      <c r="CI47" s="72">
        <f t="shared" si="43"/>
        <v>1039.23</v>
      </c>
      <c r="CJ47" s="301"/>
      <c r="CK47" s="79"/>
      <c r="CL47" s="72">
        <f t="shared" si="44"/>
        <v>0</v>
      </c>
      <c r="CM47" s="72">
        <f t="shared" si="45"/>
        <v>0</v>
      </c>
      <c r="CN47" s="81"/>
      <c r="CO47" s="72">
        <f t="shared" si="46"/>
        <v>13128.939</v>
      </c>
      <c r="CP47" s="301"/>
    </row>
    <row r="48" spans="1:94" x14ac:dyDescent="0.25">
      <c r="A48" s="3" t="s">
        <v>243</v>
      </c>
      <c r="B48" s="3" t="s">
        <v>99</v>
      </c>
      <c r="C48" s="3" t="s">
        <v>45</v>
      </c>
      <c r="D48" s="3" t="s">
        <v>48</v>
      </c>
      <c r="E48" s="3" t="s">
        <v>48</v>
      </c>
      <c r="F48" s="3" t="s">
        <v>334</v>
      </c>
      <c r="G48" t="s">
        <v>100</v>
      </c>
      <c r="H48" s="67">
        <f t="shared" si="47"/>
        <v>0</v>
      </c>
      <c r="I48" s="67">
        <f t="shared" si="47"/>
        <v>0</v>
      </c>
      <c r="J48" s="67">
        <f t="shared" si="47"/>
        <v>0</v>
      </c>
      <c r="K48" s="67">
        <f t="shared" si="47"/>
        <v>0</v>
      </c>
      <c r="L48" s="705">
        <v>0</v>
      </c>
      <c r="N48" s="206" t="s">
        <v>705</v>
      </c>
      <c r="P48" s="66"/>
      <c r="Q48" s="195">
        <f>INDEX('Apportionment Bases'!AF$6:AF$33,MATCH($N48,'Apportionment Bases'!$A$6:$A$33,0))</f>
        <v>0</v>
      </c>
      <c r="R48" s="195">
        <f>INDEX('Apportionment Bases'!AG$6:AG$33,MATCH($N48,'Apportionment Bases'!$A$6:$A$33,0))</f>
        <v>0</v>
      </c>
      <c r="S48" s="199"/>
      <c r="T48" s="195">
        <f>INDEX('Apportionment Bases'!AI$6:AI$33,MATCH($N48,'Apportionment Bases'!$A$6:$A$33,0))</f>
        <v>1</v>
      </c>
      <c r="V48" s="66"/>
      <c r="W48" s="72">
        <f t="shared" si="13"/>
        <v>0</v>
      </c>
      <c r="X48" s="72">
        <f t="shared" si="48"/>
        <v>0</v>
      </c>
      <c r="Y48" s="66"/>
      <c r="Z48" s="72">
        <f t="shared" si="49"/>
        <v>0</v>
      </c>
      <c r="AA48" s="266" t="str">
        <f t="shared" si="50"/>
        <v>TRUE</v>
      </c>
      <c r="AH48" s="301"/>
      <c r="AO48" s="79"/>
      <c r="AP48" s="44">
        <f t="shared" si="35"/>
        <v>0</v>
      </c>
      <c r="AQ48" s="44">
        <f t="shared" si="36"/>
        <v>0</v>
      </c>
      <c r="AR48" s="81"/>
      <c r="AS48" s="72">
        <f t="shared" si="37"/>
        <v>0</v>
      </c>
      <c r="AT48" s="301"/>
      <c r="AU48" s="79"/>
      <c r="AV48" s="72">
        <f t="shared" si="38"/>
        <v>0</v>
      </c>
      <c r="AW48" s="72">
        <f t="shared" si="39"/>
        <v>0</v>
      </c>
      <c r="AX48" s="81"/>
      <c r="AY48" s="72">
        <f t="shared" si="40"/>
        <v>0</v>
      </c>
      <c r="AZ48" s="301"/>
      <c r="BA48" s="79"/>
      <c r="BB48" s="72"/>
      <c r="BC48" s="72"/>
      <c r="BD48" s="81"/>
      <c r="BE48" s="72"/>
      <c r="CE48" s="79"/>
      <c r="CF48" s="72">
        <f t="shared" si="41"/>
        <v>0</v>
      </c>
      <c r="CG48" s="72">
        <f t="shared" si="42"/>
        <v>0</v>
      </c>
      <c r="CH48" s="81"/>
      <c r="CI48" s="72">
        <f t="shared" si="43"/>
        <v>0</v>
      </c>
      <c r="CJ48" s="301"/>
      <c r="CK48" s="79"/>
      <c r="CL48" s="72">
        <f t="shared" si="44"/>
        <v>0</v>
      </c>
      <c r="CM48" s="72">
        <f t="shared" si="45"/>
        <v>0</v>
      </c>
      <c r="CN48" s="81"/>
      <c r="CO48" s="72">
        <f t="shared" si="46"/>
        <v>0</v>
      </c>
      <c r="CP48" s="301"/>
    </row>
    <row r="49" spans="1:94" x14ac:dyDescent="0.25">
      <c r="A49" s="3" t="s">
        <v>243</v>
      </c>
      <c r="B49" s="3" t="s">
        <v>101</v>
      </c>
      <c r="C49" s="3" t="s">
        <v>47</v>
      </c>
      <c r="D49" s="3" t="s">
        <v>48</v>
      </c>
      <c r="E49" s="3" t="s">
        <v>48</v>
      </c>
      <c r="F49" s="3" t="s">
        <v>335</v>
      </c>
      <c r="G49" t="s">
        <v>102</v>
      </c>
      <c r="H49" s="67">
        <f t="shared" si="47"/>
        <v>2250</v>
      </c>
      <c r="I49" s="67">
        <f t="shared" si="47"/>
        <v>2250</v>
      </c>
      <c r="J49" s="67">
        <f t="shared" si="47"/>
        <v>2250</v>
      </c>
      <c r="K49" s="67">
        <f t="shared" si="47"/>
        <v>2250</v>
      </c>
      <c r="L49" s="705">
        <v>9000</v>
      </c>
      <c r="N49" s="206" t="s">
        <v>705</v>
      </c>
      <c r="P49" s="66"/>
      <c r="Q49" s="195">
        <f>INDEX('Apportionment Bases'!AF$6:AF$33,MATCH($N49,'Apportionment Bases'!$A$6:$A$33,0))</f>
        <v>0</v>
      </c>
      <c r="R49" s="195">
        <f>INDEX('Apportionment Bases'!AG$6:AG$33,MATCH($N49,'Apportionment Bases'!$A$6:$A$33,0))</f>
        <v>0</v>
      </c>
      <c r="S49" s="199"/>
      <c r="T49" s="195">
        <f>INDEX('Apportionment Bases'!AI$6:AI$33,MATCH($N49,'Apportionment Bases'!$A$6:$A$33,0))</f>
        <v>1</v>
      </c>
      <c r="V49" s="66"/>
      <c r="W49" s="72">
        <f t="shared" si="13"/>
        <v>0</v>
      </c>
      <c r="X49" s="72">
        <f t="shared" si="48"/>
        <v>0</v>
      </c>
      <c r="Y49" s="66"/>
      <c r="Z49" s="72">
        <f t="shared" si="49"/>
        <v>9000</v>
      </c>
      <c r="AA49" s="266" t="str">
        <f t="shared" si="50"/>
        <v>TRUE</v>
      </c>
      <c r="AH49" s="301"/>
      <c r="AO49" s="79"/>
      <c r="AP49" s="44">
        <f t="shared" si="35"/>
        <v>0</v>
      </c>
      <c r="AQ49" s="44">
        <f t="shared" si="36"/>
        <v>0</v>
      </c>
      <c r="AR49" s="81"/>
      <c r="AS49" s="72">
        <f t="shared" si="37"/>
        <v>2628</v>
      </c>
      <c r="AT49" s="301"/>
      <c r="AU49" s="79"/>
      <c r="AV49" s="72">
        <f t="shared" si="38"/>
        <v>0</v>
      </c>
      <c r="AW49" s="72">
        <f t="shared" si="39"/>
        <v>0</v>
      </c>
      <c r="AX49" s="81"/>
      <c r="AY49" s="72">
        <f t="shared" si="40"/>
        <v>2691</v>
      </c>
      <c r="AZ49" s="301"/>
      <c r="BA49" s="79"/>
      <c r="BB49" s="72"/>
      <c r="BC49" s="72"/>
      <c r="BD49" s="81"/>
      <c r="BE49" s="72"/>
      <c r="CE49" s="79"/>
      <c r="CF49" s="72">
        <f t="shared" si="41"/>
        <v>0</v>
      </c>
      <c r="CG49" s="72">
        <f t="shared" si="42"/>
        <v>0</v>
      </c>
      <c r="CH49" s="81"/>
      <c r="CI49" s="72">
        <f t="shared" si="43"/>
        <v>270</v>
      </c>
      <c r="CJ49" s="301"/>
      <c r="CK49" s="79"/>
      <c r="CL49" s="72">
        <f t="shared" si="44"/>
        <v>0</v>
      </c>
      <c r="CM49" s="72">
        <f t="shared" si="45"/>
        <v>0</v>
      </c>
      <c r="CN49" s="81"/>
      <c r="CO49" s="72">
        <f t="shared" si="46"/>
        <v>3411</v>
      </c>
      <c r="CP49" s="301"/>
    </row>
    <row r="50" spans="1:94" x14ac:dyDescent="0.25">
      <c r="A50" s="3" t="s">
        <v>243</v>
      </c>
      <c r="B50" s="3" t="s">
        <v>103</v>
      </c>
      <c r="C50" s="3" t="s">
        <v>47</v>
      </c>
      <c r="D50" s="3" t="s">
        <v>48</v>
      </c>
      <c r="E50" s="3" t="s">
        <v>48</v>
      </c>
      <c r="F50" s="3" t="s">
        <v>336</v>
      </c>
      <c r="G50" t="s">
        <v>104</v>
      </c>
      <c r="H50" s="67">
        <f t="shared" si="47"/>
        <v>750</v>
      </c>
      <c r="I50" s="67">
        <f t="shared" si="47"/>
        <v>750</v>
      </c>
      <c r="J50" s="67">
        <f t="shared" si="47"/>
        <v>750</v>
      </c>
      <c r="K50" s="67">
        <f t="shared" si="47"/>
        <v>750</v>
      </c>
      <c r="L50" s="705">
        <v>3000</v>
      </c>
      <c r="N50" s="206" t="s">
        <v>705</v>
      </c>
      <c r="P50" s="66"/>
      <c r="Q50" s="195">
        <f>INDEX('Apportionment Bases'!AF$6:AF$33,MATCH($N50,'Apportionment Bases'!$A$6:$A$33,0))</f>
        <v>0</v>
      </c>
      <c r="R50" s="195">
        <f>INDEX('Apportionment Bases'!AG$6:AG$33,MATCH($N50,'Apportionment Bases'!$A$6:$A$33,0))</f>
        <v>0</v>
      </c>
      <c r="S50" s="199"/>
      <c r="T50" s="195">
        <f>INDEX('Apportionment Bases'!AI$6:AI$33,MATCH($N50,'Apportionment Bases'!$A$6:$A$33,0))</f>
        <v>1</v>
      </c>
      <c r="V50" s="66"/>
      <c r="W50" s="72">
        <f t="shared" si="13"/>
        <v>0</v>
      </c>
      <c r="X50" s="72">
        <f t="shared" si="48"/>
        <v>0</v>
      </c>
      <c r="Y50" s="66"/>
      <c r="Z50" s="72">
        <f t="shared" si="49"/>
        <v>3000</v>
      </c>
      <c r="AA50" s="266" t="str">
        <f t="shared" si="50"/>
        <v>TRUE</v>
      </c>
      <c r="AH50" s="301"/>
      <c r="AO50" s="79"/>
      <c r="AP50" s="44">
        <f t="shared" si="35"/>
        <v>0</v>
      </c>
      <c r="AQ50" s="44">
        <f t="shared" si="36"/>
        <v>0</v>
      </c>
      <c r="AR50" s="81"/>
      <c r="AS50" s="72">
        <f t="shared" si="37"/>
        <v>876</v>
      </c>
      <c r="AT50" s="301"/>
      <c r="AU50" s="79"/>
      <c r="AV50" s="72">
        <f t="shared" si="38"/>
        <v>0</v>
      </c>
      <c r="AW50" s="72">
        <f t="shared" si="39"/>
        <v>0</v>
      </c>
      <c r="AX50" s="81"/>
      <c r="AY50" s="72">
        <f t="shared" si="40"/>
        <v>897</v>
      </c>
      <c r="AZ50" s="301"/>
      <c r="BA50" s="79"/>
      <c r="BB50" s="72"/>
      <c r="BC50" s="72"/>
      <c r="BD50" s="81"/>
      <c r="BE50" s="72"/>
      <c r="CE50" s="79"/>
      <c r="CF50" s="72">
        <f t="shared" si="41"/>
        <v>0</v>
      </c>
      <c r="CG50" s="72">
        <f t="shared" si="42"/>
        <v>0</v>
      </c>
      <c r="CH50" s="81"/>
      <c r="CI50" s="72">
        <f t="shared" si="43"/>
        <v>90</v>
      </c>
      <c r="CJ50" s="301"/>
      <c r="CK50" s="79"/>
      <c r="CL50" s="72">
        <f t="shared" si="44"/>
        <v>0</v>
      </c>
      <c r="CM50" s="72">
        <f t="shared" si="45"/>
        <v>0</v>
      </c>
      <c r="CN50" s="81"/>
      <c r="CO50" s="72">
        <f t="shared" si="46"/>
        <v>1137</v>
      </c>
      <c r="CP50" s="301"/>
    </row>
    <row r="51" spans="1:94" x14ac:dyDescent="0.25">
      <c r="A51" s="3" t="s">
        <v>243</v>
      </c>
      <c r="B51" s="3" t="s">
        <v>105</v>
      </c>
      <c r="C51" s="3" t="s">
        <v>47</v>
      </c>
      <c r="D51" s="3" t="s">
        <v>48</v>
      </c>
      <c r="E51" s="3" t="s">
        <v>48</v>
      </c>
      <c r="F51" s="3" t="s">
        <v>337</v>
      </c>
      <c r="G51" t="s">
        <v>106</v>
      </c>
      <c r="H51" s="67">
        <f t="shared" si="47"/>
        <v>0</v>
      </c>
      <c r="I51" s="67">
        <f t="shared" si="47"/>
        <v>0</v>
      </c>
      <c r="J51" s="67">
        <f t="shared" si="47"/>
        <v>0</v>
      </c>
      <c r="K51" s="67">
        <f t="shared" si="47"/>
        <v>0</v>
      </c>
      <c r="L51" s="705">
        <v>0</v>
      </c>
      <c r="N51" s="206" t="s">
        <v>705</v>
      </c>
      <c r="P51" s="66"/>
      <c r="Q51" s="195">
        <f>INDEX('Apportionment Bases'!AF$6:AF$33,MATCH($N51,'Apportionment Bases'!$A$6:$A$33,0))</f>
        <v>0</v>
      </c>
      <c r="R51" s="195">
        <f>INDEX('Apportionment Bases'!AG$6:AG$33,MATCH($N51,'Apportionment Bases'!$A$6:$A$33,0))</f>
        <v>0</v>
      </c>
      <c r="S51" s="199"/>
      <c r="T51" s="195">
        <f>INDEX('Apportionment Bases'!AI$6:AI$33,MATCH($N51,'Apportionment Bases'!$A$6:$A$33,0))</f>
        <v>1</v>
      </c>
      <c r="V51" s="66"/>
      <c r="W51" s="72">
        <f t="shared" si="13"/>
        <v>0</v>
      </c>
      <c r="X51" s="72">
        <f t="shared" si="48"/>
        <v>0</v>
      </c>
      <c r="Y51" s="66"/>
      <c r="Z51" s="72">
        <f t="shared" si="49"/>
        <v>0</v>
      </c>
      <c r="AA51" s="266" t="str">
        <f t="shared" si="50"/>
        <v>TRUE</v>
      </c>
      <c r="AH51" s="301"/>
      <c r="AO51" s="79"/>
      <c r="AP51" s="44">
        <f t="shared" si="35"/>
        <v>0</v>
      </c>
      <c r="AQ51" s="44">
        <f t="shared" si="36"/>
        <v>0</v>
      </c>
      <c r="AR51" s="81"/>
      <c r="AS51" s="72">
        <f t="shared" si="37"/>
        <v>0</v>
      </c>
      <c r="AT51" s="301"/>
      <c r="AU51" s="79"/>
      <c r="AV51" s="72">
        <f t="shared" si="38"/>
        <v>0</v>
      </c>
      <c r="AW51" s="72">
        <f t="shared" si="39"/>
        <v>0</v>
      </c>
      <c r="AX51" s="81"/>
      <c r="AY51" s="72">
        <f t="shared" si="40"/>
        <v>0</v>
      </c>
      <c r="AZ51" s="301"/>
      <c r="BA51" s="79"/>
      <c r="BB51" s="72"/>
      <c r="BC51" s="72"/>
      <c r="BD51" s="81"/>
      <c r="BE51" s="72"/>
      <c r="CE51" s="79"/>
      <c r="CF51" s="72">
        <f t="shared" si="41"/>
        <v>0</v>
      </c>
      <c r="CG51" s="72">
        <f t="shared" si="42"/>
        <v>0</v>
      </c>
      <c r="CH51" s="81"/>
      <c r="CI51" s="72">
        <f t="shared" si="43"/>
        <v>0</v>
      </c>
      <c r="CJ51" s="301"/>
      <c r="CK51" s="79"/>
      <c r="CL51" s="72">
        <f t="shared" si="44"/>
        <v>0</v>
      </c>
      <c r="CM51" s="72">
        <f t="shared" si="45"/>
        <v>0</v>
      </c>
      <c r="CN51" s="81"/>
      <c r="CO51" s="72">
        <f t="shared" si="46"/>
        <v>0</v>
      </c>
      <c r="CP51" s="301"/>
    </row>
    <row r="52" spans="1:94" x14ac:dyDescent="0.25">
      <c r="A52" s="3" t="s">
        <v>243</v>
      </c>
      <c r="B52" s="3" t="s">
        <v>105</v>
      </c>
      <c r="C52" s="3" t="s">
        <v>45</v>
      </c>
      <c r="D52" s="3" t="s">
        <v>48</v>
      </c>
      <c r="E52" s="3" t="s">
        <v>48</v>
      </c>
      <c r="F52" s="3" t="s">
        <v>338</v>
      </c>
      <c r="G52" t="s">
        <v>106</v>
      </c>
      <c r="H52" s="67">
        <f t="shared" si="47"/>
        <v>6000</v>
      </c>
      <c r="I52" s="67">
        <f t="shared" si="47"/>
        <v>6000</v>
      </c>
      <c r="J52" s="67">
        <f t="shared" si="47"/>
        <v>6000</v>
      </c>
      <c r="K52" s="67">
        <f t="shared" si="47"/>
        <v>6000</v>
      </c>
      <c r="L52" s="705">
        <v>24000</v>
      </c>
      <c r="N52" s="206" t="s">
        <v>705</v>
      </c>
      <c r="P52" s="66"/>
      <c r="Q52" s="195">
        <f>INDEX('Apportionment Bases'!AF$6:AF$33,MATCH($N52,'Apportionment Bases'!$A$6:$A$33,0))</f>
        <v>0</v>
      </c>
      <c r="R52" s="195">
        <f>INDEX('Apportionment Bases'!AG$6:AG$33,MATCH($N52,'Apportionment Bases'!$A$6:$A$33,0))</f>
        <v>0</v>
      </c>
      <c r="S52" s="199"/>
      <c r="T52" s="195">
        <f>INDEX('Apportionment Bases'!AI$6:AI$33,MATCH($N52,'Apportionment Bases'!$A$6:$A$33,0))</f>
        <v>1</v>
      </c>
      <c r="V52" s="66"/>
      <c r="W52" s="72">
        <f t="shared" si="13"/>
        <v>0</v>
      </c>
      <c r="X52" s="72">
        <f t="shared" si="48"/>
        <v>0</v>
      </c>
      <c r="Y52" s="66"/>
      <c r="Z52" s="72">
        <f t="shared" si="49"/>
        <v>24000</v>
      </c>
      <c r="AA52" s="266" t="str">
        <f t="shared" si="50"/>
        <v>TRUE</v>
      </c>
      <c r="AH52" s="301"/>
      <c r="AO52" s="79"/>
      <c r="AP52" s="44">
        <f t="shared" si="35"/>
        <v>0</v>
      </c>
      <c r="AQ52" s="44">
        <f t="shared" si="36"/>
        <v>0</v>
      </c>
      <c r="AR52" s="81"/>
      <c r="AS52" s="72">
        <f t="shared" si="37"/>
        <v>7008</v>
      </c>
      <c r="AT52" s="301"/>
      <c r="AU52" s="79"/>
      <c r="AV52" s="72">
        <f t="shared" si="38"/>
        <v>0</v>
      </c>
      <c r="AW52" s="72">
        <f t="shared" si="39"/>
        <v>0</v>
      </c>
      <c r="AX52" s="81"/>
      <c r="AY52" s="72">
        <f t="shared" si="40"/>
        <v>7176</v>
      </c>
      <c r="AZ52" s="301"/>
      <c r="BA52" s="79"/>
      <c r="BB52" s="72"/>
      <c r="BC52" s="72"/>
      <c r="BD52" s="81"/>
      <c r="BE52" s="72"/>
      <c r="CE52" s="79"/>
      <c r="CF52" s="72">
        <f t="shared" si="41"/>
        <v>0</v>
      </c>
      <c r="CG52" s="72">
        <f t="shared" si="42"/>
        <v>0</v>
      </c>
      <c r="CH52" s="81"/>
      <c r="CI52" s="72">
        <f t="shared" si="43"/>
        <v>720</v>
      </c>
      <c r="CJ52" s="301"/>
      <c r="CK52" s="79"/>
      <c r="CL52" s="72">
        <f t="shared" si="44"/>
        <v>0</v>
      </c>
      <c r="CM52" s="72">
        <f t="shared" si="45"/>
        <v>0</v>
      </c>
      <c r="CN52" s="81"/>
      <c r="CO52" s="72">
        <f t="shared" si="46"/>
        <v>9096</v>
      </c>
      <c r="CP52" s="301"/>
    </row>
    <row r="53" spans="1:94" x14ac:dyDescent="0.25">
      <c r="A53" s="3" t="s">
        <v>243</v>
      </c>
      <c r="B53" s="3" t="s">
        <v>107</v>
      </c>
      <c r="C53" s="3" t="s">
        <v>47</v>
      </c>
      <c r="D53" s="3" t="s">
        <v>48</v>
      </c>
      <c r="E53" s="3" t="s">
        <v>48</v>
      </c>
      <c r="F53" s="3" t="s">
        <v>339</v>
      </c>
      <c r="G53" t="s">
        <v>108</v>
      </c>
      <c r="H53" s="67">
        <f t="shared" si="47"/>
        <v>250</v>
      </c>
      <c r="I53" s="67">
        <f t="shared" si="47"/>
        <v>250</v>
      </c>
      <c r="J53" s="67">
        <f t="shared" si="47"/>
        <v>250</v>
      </c>
      <c r="K53" s="67">
        <f t="shared" si="47"/>
        <v>250</v>
      </c>
      <c r="L53" s="705">
        <v>1000</v>
      </c>
      <c r="N53" s="206" t="s">
        <v>705</v>
      </c>
      <c r="P53" s="66"/>
      <c r="Q53" s="195">
        <f>INDEX('Apportionment Bases'!AF$6:AF$33,MATCH($N53,'Apportionment Bases'!$A$6:$A$33,0))</f>
        <v>0</v>
      </c>
      <c r="R53" s="195">
        <f>INDEX('Apportionment Bases'!AG$6:AG$33,MATCH($N53,'Apportionment Bases'!$A$6:$A$33,0))</f>
        <v>0</v>
      </c>
      <c r="S53" s="199"/>
      <c r="T53" s="195">
        <f>INDEX('Apportionment Bases'!AI$6:AI$33,MATCH($N53,'Apportionment Bases'!$A$6:$A$33,0))</f>
        <v>1</v>
      </c>
      <c r="V53" s="66"/>
      <c r="W53" s="72">
        <f t="shared" si="13"/>
        <v>0</v>
      </c>
      <c r="X53" s="72">
        <f t="shared" si="48"/>
        <v>0</v>
      </c>
      <c r="Y53" s="66"/>
      <c r="Z53" s="72">
        <f t="shared" si="49"/>
        <v>1000</v>
      </c>
      <c r="AA53" s="266" t="str">
        <f t="shared" si="50"/>
        <v>TRUE</v>
      </c>
      <c r="AH53" s="301"/>
      <c r="AO53" s="79"/>
      <c r="AP53" s="44">
        <f t="shared" si="35"/>
        <v>0</v>
      </c>
      <c r="AQ53" s="44">
        <f t="shared" si="36"/>
        <v>0</v>
      </c>
      <c r="AR53" s="81"/>
      <c r="AS53" s="72">
        <f t="shared" si="37"/>
        <v>292</v>
      </c>
      <c r="AT53" s="301"/>
      <c r="AU53" s="79"/>
      <c r="AV53" s="72">
        <f t="shared" si="38"/>
        <v>0</v>
      </c>
      <c r="AW53" s="72">
        <f t="shared" si="39"/>
        <v>0</v>
      </c>
      <c r="AX53" s="81"/>
      <c r="AY53" s="72">
        <f t="shared" si="40"/>
        <v>299</v>
      </c>
      <c r="AZ53" s="301"/>
      <c r="BA53" s="79"/>
      <c r="BB53" s="72"/>
      <c r="BC53" s="72"/>
      <c r="BD53" s="81"/>
      <c r="BE53" s="72"/>
      <c r="CE53" s="79"/>
      <c r="CF53" s="72">
        <f t="shared" si="41"/>
        <v>0</v>
      </c>
      <c r="CG53" s="72">
        <f t="shared" si="42"/>
        <v>0</v>
      </c>
      <c r="CH53" s="81"/>
      <c r="CI53" s="72">
        <f t="shared" si="43"/>
        <v>30</v>
      </c>
      <c r="CJ53" s="301"/>
      <c r="CK53" s="79"/>
      <c r="CL53" s="72">
        <f t="shared" si="44"/>
        <v>0</v>
      </c>
      <c r="CM53" s="72">
        <f t="shared" si="45"/>
        <v>0</v>
      </c>
      <c r="CN53" s="81"/>
      <c r="CO53" s="72">
        <f t="shared" si="46"/>
        <v>379</v>
      </c>
      <c r="CP53" s="301"/>
    </row>
    <row r="54" spans="1:94" x14ac:dyDescent="0.25">
      <c r="A54" s="149" t="s">
        <v>243</v>
      </c>
      <c r="B54" s="149" t="s">
        <v>109</v>
      </c>
      <c r="C54" s="149" t="s">
        <v>47</v>
      </c>
      <c r="D54" s="149" t="s">
        <v>48</v>
      </c>
      <c r="E54" s="149" t="s">
        <v>48</v>
      </c>
      <c r="F54" s="149" t="s">
        <v>340</v>
      </c>
      <c r="G54" s="150" t="s">
        <v>110</v>
      </c>
      <c r="H54" s="151">
        <f t="shared" si="47"/>
        <v>0</v>
      </c>
      <c r="I54" s="151">
        <f t="shared" si="47"/>
        <v>0</v>
      </c>
      <c r="J54" s="151">
        <f t="shared" si="47"/>
        <v>0</v>
      </c>
      <c r="K54" s="151">
        <f t="shared" si="47"/>
        <v>0</v>
      </c>
      <c r="L54" s="712">
        <v>0</v>
      </c>
      <c r="M54" s="46"/>
      <c r="N54" s="206" t="s">
        <v>705</v>
      </c>
      <c r="P54" s="66"/>
      <c r="Q54" s="195">
        <f>INDEX('Apportionment Bases'!AF$6:AF$33,MATCH($N54,'Apportionment Bases'!$A$6:$A$33,0))</f>
        <v>0</v>
      </c>
      <c r="R54" s="195">
        <f>INDEX('Apportionment Bases'!AG$6:AG$33,MATCH($N54,'Apportionment Bases'!$A$6:$A$33,0))</f>
        <v>0</v>
      </c>
      <c r="S54" s="199"/>
      <c r="T54" s="195">
        <f>INDEX('Apportionment Bases'!AI$6:AI$33,MATCH($N54,'Apportionment Bases'!$A$6:$A$33,0))</f>
        <v>1</v>
      </c>
      <c r="V54" s="66"/>
      <c r="W54" s="72">
        <f t="shared" si="13"/>
        <v>0</v>
      </c>
      <c r="X54" s="72">
        <f t="shared" si="48"/>
        <v>0</v>
      </c>
      <c r="Y54" s="66"/>
      <c r="Z54" s="72">
        <f t="shared" si="49"/>
        <v>0</v>
      </c>
      <c r="AA54" s="266" t="str">
        <f t="shared" si="50"/>
        <v>TRUE</v>
      </c>
      <c r="AH54" s="301"/>
      <c r="AO54" s="79"/>
      <c r="AP54" s="44">
        <f t="shared" si="35"/>
        <v>0</v>
      </c>
      <c r="AQ54" s="44">
        <f t="shared" si="36"/>
        <v>0</v>
      </c>
      <c r="AR54" s="81"/>
      <c r="AS54" s="72">
        <f t="shared" si="37"/>
        <v>0</v>
      </c>
      <c r="AT54" s="301"/>
      <c r="AU54" s="79"/>
      <c r="AV54" s="72">
        <f t="shared" si="38"/>
        <v>0</v>
      </c>
      <c r="AW54" s="72">
        <f t="shared" si="39"/>
        <v>0</v>
      </c>
      <c r="AX54" s="81"/>
      <c r="AY54" s="72">
        <f t="shared" si="40"/>
        <v>0</v>
      </c>
      <c r="AZ54" s="301"/>
      <c r="BA54" s="79"/>
      <c r="BB54" s="72"/>
      <c r="BC54" s="72"/>
      <c r="BD54" s="81"/>
      <c r="BE54" s="72"/>
      <c r="CE54" s="79"/>
      <c r="CF54" s="72">
        <f t="shared" si="41"/>
        <v>0</v>
      </c>
      <c r="CG54" s="72">
        <f t="shared" si="42"/>
        <v>0</v>
      </c>
      <c r="CH54" s="81"/>
      <c r="CI54" s="72">
        <f t="shared" si="43"/>
        <v>0</v>
      </c>
      <c r="CJ54" s="301"/>
      <c r="CK54" s="79"/>
      <c r="CL54" s="72">
        <f t="shared" si="44"/>
        <v>0</v>
      </c>
      <c r="CM54" s="72">
        <f t="shared" si="45"/>
        <v>0</v>
      </c>
      <c r="CN54" s="81"/>
      <c r="CO54" s="72">
        <f t="shared" si="46"/>
        <v>0</v>
      </c>
      <c r="CP54" s="301"/>
    </row>
    <row r="55" spans="1:94" x14ac:dyDescent="0.25">
      <c r="A55" s="3" t="s">
        <v>243</v>
      </c>
      <c r="B55" s="3" t="s">
        <v>111</v>
      </c>
      <c r="C55" s="3" t="s">
        <v>47</v>
      </c>
      <c r="D55" s="3" t="s">
        <v>48</v>
      </c>
      <c r="E55" s="3" t="s">
        <v>48</v>
      </c>
      <c r="F55" s="3" t="s">
        <v>341</v>
      </c>
      <c r="G55" t="s">
        <v>112</v>
      </c>
      <c r="H55" s="67">
        <f t="shared" si="47"/>
        <v>3458.25</v>
      </c>
      <c r="I55" s="67">
        <f t="shared" si="47"/>
        <v>3458.25</v>
      </c>
      <c r="J55" s="67">
        <f t="shared" si="47"/>
        <v>3458.25</v>
      </c>
      <c r="K55" s="67">
        <f t="shared" si="47"/>
        <v>3458.25</v>
      </c>
      <c r="L55" s="705">
        <v>13833</v>
      </c>
      <c r="N55" s="206" t="s">
        <v>705</v>
      </c>
      <c r="P55" s="66"/>
      <c r="Q55" s="195">
        <f>INDEX('Apportionment Bases'!AF$6:AF$33,MATCH($N55,'Apportionment Bases'!$A$6:$A$33,0))</f>
        <v>0</v>
      </c>
      <c r="R55" s="195">
        <f>INDEX('Apportionment Bases'!AG$6:AG$33,MATCH($N55,'Apportionment Bases'!$A$6:$A$33,0))</f>
        <v>0</v>
      </c>
      <c r="S55" s="199"/>
      <c r="T55" s="195">
        <f>INDEX('Apportionment Bases'!AI$6:AI$33,MATCH($N55,'Apportionment Bases'!$A$6:$A$33,0))</f>
        <v>1</v>
      </c>
      <c r="V55" s="66"/>
      <c r="W55" s="72">
        <f t="shared" si="13"/>
        <v>0</v>
      </c>
      <c r="X55" s="72">
        <f t="shared" si="48"/>
        <v>0</v>
      </c>
      <c r="Y55" s="66"/>
      <c r="Z55" s="72">
        <f t="shared" si="49"/>
        <v>13833</v>
      </c>
      <c r="AA55" s="266" t="str">
        <f t="shared" si="50"/>
        <v>TRUE</v>
      </c>
      <c r="AH55" s="301"/>
      <c r="AO55" s="79"/>
      <c r="AP55" s="44">
        <f t="shared" ref="AP55:AP83" si="51">$AD$7*W55</f>
        <v>0</v>
      </c>
      <c r="AQ55" s="44">
        <f t="shared" ref="AQ55:AQ83" si="52">$AE$7*X55</f>
        <v>0</v>
      </c>
      <c r="AR55" s="81"/>
      <c r="AS55" s="72">
        <f t="shared" ref="AS55:AS83" si="53">$AG$7*Z55</f>
        <v>4039.2359999999999</v>
      </c>
      <c r="AT55" s="301"/>
      <c r="AU55" s="79"/>
      <c r="AV55" s="72">
        <f t="shared" ref="AV55:AV83" si="54">$AD$8*W55</f>
        <v>0</v>
      </c>
      <c r="AW55" s="72">
        <f t="shared" ref="AW55:AW83" si="55">$AE$8*X55</f>
        <v>0</v>
      </c>
      <c r="AX55" s="81"/>
      <c r="AY55" s="72">
        <f t="shared" ref="AY55:AY83" si="56">$AG$8*Z55</f>
        <v>4136.067</v>
      </c>
      <c r="AZ55" s="301"/>
      <c r="BA55" s="79"/>
      <c r="BB55" s="72"/>
      <c r="BC55" s="72"/>
      <c r="BD55" s="81"/>
      <c r="BE55" s="72"/>
      <c r="CE55" s="79"/>
      <c r="CF55" s="72">
        <f t="shared" ref="CF55:CF83" si="57">$AD$10*W55</f>
        <v>0</v>
      </c>
      <c r="CG55" s="72">
        <f t="shared" ref="CG55:CG83" si="58">$AE$10*X55</f>
        <v>0</v>
      </c>
      <c r="CH55" s="81"/>
      <c r="CI55" s="72">
        <f t="shared" ref="CI55:CI83" si="59">$AG$10*Z55</f>
        <v>414.99</v>
      </c>
      <c r="CJ55" s="301"/>
      <c r="CK55" s="79"/>
      <c r="CL55" s="72">
        <f t="shared" ref="CL55:CL83" si="60">$AD$11*W55</f>
        <v>0</v>
      </c>
      <c r="CM55" s="72">
        <f t="shared" ref="CM55:CM83" si="61">$AE$11*X55</f>
        <v>0</v>
      </c>
      <c r="CN55" s="81"/>
      <c r="CO55" s="72">
        <f t="shared" ref="CO55:CO83" si="62">$AG$11*Z55</f>
        <v>5242.7070000000003</v>
      </c>
      <c r="CP55" s="301"/>
    </row>
    <row r="56" spans="1:94" x14ac:dyDescent="0.25">
      <c r="A56" s="3" t="s">
        <v>243</v>
      </c>
      <c r="B56" s="3" t="s">
        <v>111</v>
      </c>
      <c r="C56" s="3" t="s">
        <v>45</v>
      </c>
      <c r="D56" s="3" t="s">
        <v>48</v>
      </c>
      <c r="E56" s="3" t="s">
        <v>48</v>
      </c>
      <c r="F56" s="3" t="s">
        <v>342</v>
      </c>
      <c r="G56" t="s">
        <v>112</v>
      </c>
      <c r="H56" s="67">
        <f t="shared" ref="H56:K83" si="63">$L56/4</f>
        <v>831</v>
      </c>
      <c r="I56" s="67">
        <f t="shared" si="63"/>
        <v>831</v>
      </c>
      <c r="J56" s="67">
        <f t="shared" si="63"/>
        <v>831</v>
      </c>
      <c r="K56" s="67">
        <f t="shared" si="63"/>
        <v>831</v>
      </c>
      <c r="L56" s="705">
        <v>3324</v>
      </c>
      <c r="N56" s="206" t="s">
        <v>705</v>
      </c>
      <c r="P56" s="66"/>
      <c r="Q56" s="195">
        <f>INDEX('Apportionment Bases'!AF$6:AF$33,MATCH($N56,'Apportionment Bases'!$A$6:$A$33,0))</f>
        <v>0</v>
      </c>
      <c r="R56" s="195">
        <f>INDEX('Apportionment Bases'!AG$6:AG$33,MATCH($N56,'Apportionment Bases'!$A$6:$A$33,0))</f>
        <v>0</v>
      </c>
      <c r="S56" s="199"/>
      <c r="T56" s="195">
        <f>INDEX('Apportionment Bases'!AI$6:AI$33,MATCH($N56,'Apportionment Bases'!$A$6:$A$33,0))</f>
        <v>1</v>
      </c>
      <c r="V56" s="66"/>
      <c r="W56" s="72">
        <f t="shared" si="13"/>
        <v>0</v>
      </c>
      <c r="X56" s="72">
        <f t="shared" si="48"/>
        <v>0</v>
      </c>
      <c r="Y56" s="66"/>
      <c r="Z56" s="72">
        <f t="shared" si="49"/>
        <v>3324</v>
      </c>
      <c r="AA56" s="266" t="str">
        <f t="shared" si="50"/>
        <v>TRUE</v>
      </c>
      <c r="AH56" s="301"/>
      <c r="AO56" s="79"/>
      <c r="AP56" s="44">
        <f t="shared" si="51"/>
        <v>0</v>
      </c>
      <c r="AQ56" s="44">
        <f t="shared" si="52"/>
        <v>0</v>
      </c>
      <c r="AR56" s="81"/>
      <c r="AS56" s="72">
        <f t="shared" si="53"/>
        <v>970.60799999999995</v>
      </c>
      <c r="AT56" s="301"/>
      <c r="AU56" s="79"/>
      <c r="AV56" s="72">
        <f t="shared" si="54"/>
        <v>0</v>
      </c>
      <c r="AW56" s="72">
        <f t="shared" si="55"/>
        <v>0</v>
      </c>
      <c r="AX56" s="81"/>
      <c r="AY56" s="72">
        <f t="shared" si="56"/>
        <v>993.87599999999998</v>
      </c>
      <c r="AZ56" s="301"/>
      <c r="BA56" s="79"/>
      <c r="BB56" s="72"/>
      <c r="BC56" s="72"/>
      <c r="BD56" s="81"/>
      <c r="BE56" s="72"/>
      <c r="CE56" s="79"/>
      <c r="CF56" s="72">
        <f t="shared" si="57"/>
        <v>0</v>
      </c>
      <c r="CG56" s="72">
        <f t="shared" si="58"/>
        <v>0</v>
      </c>
      <c r="CH56" s="81"/>
      <c r="CI56" s="72">
        <f t="shared" si="59"/>
        <v>99.72</v>
      </c>
      <c r="CJ56" s="301"/>
      <c r="CK56" s="79"/>
      <c r="CL56" s="72">
        <f t="shared" si="60"/>
        <v>0</v>
      </c>
      <c r="CM56" s="72">
        <f t="shared" si="61"/>
        <v>0</v>
      </c>
      <c r="CN56" s="81"/>
      <c r="CO56" s="72">
        <f t="shared" si="62"/>
        <v>1259.796</v>
      </c>
      <c r="CP56" s="301"/>
    </row>
    <row r="57" spans="1:94" x14ac:dyDescent="0.25">
      <c r="A57" s="3" t="s">
        <v>243</v>
      </c>
      <c r="B57" s="3" t="s">
        <v>113</v>
      </c>
      <c r="C57" s="3" t="s">
        <v>47</v>
      </c>
      <c r="D57" s="3" t="s">
        <v>48</v>
      </c>
      <c r="E57" s="3" t="s">
        <v>48</v>
      </c>
      <c r="F57" s="3" t="s">
        <v>343</v>
      </c>
      <c r="G57" t="s">
        <v>114</v>
      </c>
      <c r="H57" s="67">
        <f t="shared" si="63"/>
        <v>3975</v>
      </c>
      <c r="I57" s="67">
        <f t="shared" si="63"/>
        <v>3975</v>
      </c>
      <c r="J57" s="67">
        <f t="shared" si="63"/>
        <v>3975</v>
      </c>
      <c r="K57" s="67">
        <f t="shared" si="63"/>
        <v>3975</v>
      </c>
      <c r="L57" s="705">
        <v>15900</v>
      </c>
      <c r="N57" s="206" t="s">
        <v>705</v>
      </c>
      <c r="P57" s="66"/>
      <c r="Q57" s="195">
        <f>INDEX('Apportionment Bases'!AF$6:AF$33,MATCH($N57,'Apportionment Bases'!$A$6:$A$33,0))</f>
        <v>0</v>
      </c>
      <c r="R57" s="195">
        <f>INDEX('Apportionment Bases'!AG$6:AG$33,MATCH($N57,'Apportionment Bases'!$A$6:$A$33,0))</f>
        <v>0</v>
      </c>
      <c r="S57" s="199"/>
      <c r="T57" s="195">
        <f>INDEX('Apportionment Bases'!AI$6:AI$33,MATCH($N57,'Apportionment Bases'!$A$6:$A$33,0))</f>
        <v>1</v>
      </c>
      <c r="V57" s="66"/>
      <c r="W57" s="72">
        <f t="shared" si="13"/>
        <v>0</v>
      </c>
      <c r="X57" s="72">
        <f t="shared" si="48"/>
        <v>0</v>
      </c>
      <c r="Y57" s="66"/>
      <c r="Z57" s="72">
        <f t="shared" si="49"/>
        <v>15900</v>
      </c>
      <c r="AA57" s="266" t="str">
        <f t="shared" si="50"/>
        <v>TRUE</v>
      </c>
      <c r="AH57" s="301"/>
      <c r="AO57" s="79"/>
      <c r="AP57" s="44">
        <f t="shared" si="51"/>
        <v>0</v>
      </c>
      <c r="AQ57" s="44">
        <f t="shared" si="52"/>
        <v>0</v>
      </c>
      <c r="AR57" s="81"/>
      <c r="AS57" s="72">
        <f t="shared" si="53"/>
        <v>4642.7999999999993</v>
      </c>
      <c r="AT57" s="301"/>
      <c r="AU57" s="79"/>
      <c r="AV57" s="72">
        <f t="shared" si="54"/>
        <v>0</v>
      </c>
      <c r="AW57" s="72">
        <f t="shared" si="55"/>
        <v>0</v>
      </c>
      <c r="AX57" s="81"/>
      <c r="AY57" s="72">
        <f t="shared" si="56"/>
        <v>4754.0999999999995</v>
      </c>
      <c r="AZ57" s="301"/>
      <c r="BA57" s="79"/>
      <c r="BB57" s="72"/>
      <c r="BC57" s="72"/>
      <c r="BD57" s="81"/>
      <c r="BE57" s="72"/>
      <c r="CE57" s="79"/>
      <c r="CF57" s="72">
        <f t="shared" si="57"/>
        <v>0</v>
      </c>
      <c r="CG57" s="72">
        <f t="shared" si="58"/>
        <v>0</v>
      </c>
      <c r="CH57" s="81"/>
      <c r="CI57" s="72">
        <f t="shared" si="59"/>
        <v>477</v>
      </c>
      <c r="CJ57" s="301"/>
      <c r="CK57" s="79"/>
      <c r="CL57" s="72">
        <f t="shared" si="60"/>
        <v>0</v>
      </c>
      <c r="CM57" s="72">
        <f t="shared" si="61"/>
        <v>0</v>
      </c>
      <c r="CN57" s="81"/>
      <c r="CO57" s="72">
        <f t="shared" si="62"/>
        <v>6026.1</v>
      </c>
      <c r="CP57" s="301"/>
    </row>
    <row r="58" spans="1:94" x14ac:dyDescent="0.25">
      <c r="A58" s="3" t="s">
        <v>243</v>
      </c>
      <c r="B58" s="3" t="s">
        <v>113</v>
      </c>
      <c r="C58" s="3" t="s">
        <v>45</v>
      </c>
      <c r="D58" s="3" t="s">
        <v>48</v>
      </c>
      <c r="E58" s="3" t="s">
        <v>48</v>
      </c>
      <c r="F58" s="3" t="s">
        <v>344</v>
      </c>
      <c r="G58" t="s">
        <v>114</v>
      </c>
      <c r="H58" s="67">
        <f t="shared" si="63"/>
        <v>279.5</v>
      </c>
      <c r="I58" s="67">
        <f t="shared" si="63"/>
        <v>279.5</v>
      </c>
      <c r="J58" s="67">
        <f t="shared" si="63"/>
        <v>279.5</v>
      </c>
      <c r="K58" s="67">
        <f t="shared" si="63"/>
        <v>279.5</v>
      </c>
      <c r="L58" s="705">
        <v>1118</v>
      </c>
      <c r="N58" s="206" t="s">
        <v>705</v>
      </c>
      <c r="P58" s="66"/>
      <c r="Q58" s="195">
        <f>INDEX('Apportionment Bases'!AF$6:AF$33,MATCH($N58,'Apportionment Bases'!$A$6:$A$33,0))</f>
        <v>0</v>
      </c>
      <c r="R58" s="195">
        <f>INDEX('Apportionment Bases'!AG$6:AG$33,MATCH($N58,'Apportionment Bases'!$A$6:$A$33,0))</f>
        <v>0</v>
      </c>
      <c r="S58" s="199"/>
      <c r="T58" s="195">
        <f>INDEX('Apportionment Bases'!AI$6:AI$33,MATCH($N58,'Apportionment Bases'!$A$6:$A$33,0))</f>
        <v>1</v>
      </c>
      <c r="V58" s="66"/>
      <c r="W58" s="72">
        <f t="shared" si="13"/>
        <v>0</v>
      </c>
      <c r="X58" s="72">
        <f t="shared" si="48"/>
        <v>0</v>
      </c>
      <c r="Y58" s="66"/>
      <c r="Z58" s="72">
        <f t="shared" si="49"/>
        <v>1118</v>
      </c>
      <c r="AA58" s="266" t="str">
        <f t="shared" si="50"/>
        <v>TRUE</v>
      </c>
      <c r="AH58" s="301"/>
      <c r="AO58" s="79"/>
      <c r="AP58" s="44">
        <f t="shared" si="51"/>
        <v>0</v>
      </c>
      <c r="AQ58" s="44">
        <f t="shared" si="52"/>
        <v>0</v>
      </c>
      <c r="AR58" s="81"/>
      <c r="AS58" s="72">
        <f t="shared" si="53"/>
        <v>326.45599999999996</v>
      </c>
      <c r="AT58" s="301"/>
      <c r="AU58" s="79"/>
      <c r="AV58" s="72">
        <f t="shared" si="54"/>
        <v>0</v>
      </c>
      <c r="AW58" s="72">
        <f t="shared" si="55"/>
        <v>0</v>
      </c>
      <c r="AX58" s="81"/>
      <c r="AY58" s="72">
        <f t="shared" si="56"/>
        <v>334.28199999999998</v>
      </c>
      <c r="AZ58" s="301"/>
      <c r="BA58" s="79"/>
      <c r="BB58" s="72"/>
      <c r="BC58" s="72"/>
      <c r="BD58" s="81"/>
      <c r="BE58" s="72"/>
      <c r="CE58" s="79"/>
      <c r="CF58" s="72">
        <f t="shared" si="57"/>
        <v>0</v>
      </c>
      <c r="CG58" s="72">
        <f t="shared" si="58"/>
        <v>0</v>
      </c>
      <c r="CH58" s="81"/>
      <c r="CI58" s="72">
        <f t="shared" si="59"/>
        <v>33.54</v>
      </c>
      <c r="CJ58" s="301"/>
      <c r="CK58" s="79"/>
      <c r="CL58" s="72">
        <f t="shared" si="60"/>
        <v>0</v>
      </c>
      <c r="CM58" s="72">
        <f t="shared" si="61"/>
        <v>0</v>
      </c>
      <c r="CN58" s="81"/>
      <c r="CO58" s="72">
        <f t="shared" si="62"/>
        <v>423.72199999999998</v>
      </c>
      <c r="CP58" s="301"/>
    </row>
    <row r="59" spans="1:94" s="46" customFormat="1" x14ac:dyDescent="0.25">
      <c r="A59" s="149" t="s">
        <v>243</v>
      </c>
      <c r="B59" s="149" t="s">
        <v>115</v>
      </c>
      <c r="C59" s="149" t="s">
        <v>45</v>
      </c>
      <c r="D59" s="149" t="s">
        <v>48</v>
      </c>
      <c r="E59" s="149" t="s">
        <v>48</v>
      </c>
      <c r="F59" s="149" t="s">
        <v>345</v>
      </c>
      <c r="G59" s="150" t="s">
        <v>116</v>
      </c>
      <c r="H59" s="151">
        <f t="shared" si="63"/>
        <v>2501</v>
      </c>
      <c r="I59" s="151">
        <f t="shared" si="63"/>
        <v>2501</v>
      </c>
      <c r="J59" s="151">
        <f t="shared" si="63"/>
        <v>2501</v>
      </c>
      <c r="K59" s="151">
        <f t="shared" si="63"/>
        <v>2501</v>
      </c>
      <c r="L59" s="712">
        <v>10004</v>
      </c>
      <c r="N59" s="209" t="s">
        <v>17</v>
      </c>
      <c r="P59" s="113"/>
      <c r="Q59" s="195">
        <f>INDEX('Apportionment Bases'!AF$6:AF$33,MATCH($N59,'Apportionment Bases'!$A$6:$A$33,0))</f>
        <v>0.5</v>
      </c>
      <c r="R59" s="195">
        <f>INDEX('Apportionment Bases'!AG$6:AG$33,MATCH($N59,'Apportionment Bases'!$A$6:$A$33,0))</f>
        <v>0.5</v>
      </c>
      <c r="S59" s="199"/>
      <c r="T59" s="195">
        <f>INDEX('Apportionment Bases'!AI$6:AI$33,MATCH($N59,'Apportionment Bases'!$A$6:$A$33,0))</f>
        <v>0</v>
      </c>
      <c r="V59" s="113"/>
      <c r="W59" s="72">
        <f t="shared" si="13"/>
        <v>5002</v>
      </c>
      <c r="X59" s="72">
        <f t="shared" si="48"/>
        <v>5002</v>
      </c>
      <c r="Y59" s="113"/>
      <c r="Z59" s="72">
        <f t="shared" si="49"/>
        <v>0</v>
      </c>
      <c r="AA59" s="266" t="str">
        <f t="shared" si="50"/>
        <v>TRUE</v>
      </c>
      <c r="AH59" s="319"/>
      <c r="AO59" s="114"/>
      <c r="AP59" s="44">
        <f t="shared" si="51"/>
        <v>0</v>
      </c>
      <c r="AQ59" s="44">
        <f t="shared" si="52"/>
        <v>0</v>
      </c>
      <c r="AR59" s="115"/>
      <c r="AS59" s="72">
        <f t="shared" si="53"/>
        <v>0</v>
      </c>
      <c r="AT59" s="319"/>
      <c r="AU59" s="114"/>
      <c r="AV59" s="72">
        <f t="shared" si="54"/>
        <v>2089.6297509829619</v>
      </c>
      <c r="AW59" s="72">
        <f t="shared" si="55"/>
        <v>5002</v>
      </c>
      <c r="AX59" s="115"/>
      <c r="AY59" s="72">
        <f t="shared" si="56"/>
        <v>0</v>
      </c>
      <c r="AZ59" s="319"/>
      <c r="BA59" s="114"/>
      <c r="BB59" s="72"/>
      <c r="BC59" s="72"/>
      <c r="BD59" s="115"/>
      <c r="BE59" s="72"/>
      <c r="CE59" s="114"/>
      <c r="CF59" s="72">
        <f t="shared" si="57"/>
        <v>81.946264744429882</v>
      </c>
      <c r="CG59" s="72">
        <f t="shared" si="58"/>
        <v>0</v>
      </c>
      <c r="CH59" s="115"/>
      <c r="CI59" s="72">
        <f t="shared" si="59"/>
        <v>0</v>
      </c>
      <c r="CJ59" s="319"/>
      <c r="CK59" s="114"/>
      <c r="CL59" s="72">
        <f t="shared" si="60"/>
        <v>2830.4239842726079</v>
      </c>
      <c r="CM59" s="72">
        <f t="shared" si="61"/>
        <v>0</v>
      </c>
      <c r="CN59" s="115"/>
      <c r="CO59" s="72">
        <f t="shared" si="62"/>
        <v>0</v>
      </c>
      <c r="CP59" s="319"/>
    </row>
    <row r="60" spans="1:94" x14ac:dyDescent="0.25">
      <c r="A60" s="3" t="s">
        <v>243</v>
      </c>
      <c r="B60" s="3" t="s">
        <v>117</v>
      </c>
      <c r="C60" s="3" t="s">
        <v>47</v>
      </c>
      <c r="D60" s="3" t="s">
        <v>48</v>
      </c>
      <c r="E60" s="3" t="s">
        <v>48</v>
      </c>
      <c r="F60" s="3" t="s">
        <v>346</v>
      </c>
      <c r="G60" t="s">
        <v>118</v>
      </c>
      <c r="H60" s="67">
        <f t="shared" si="63"/>
        <v>250</v>
      </c>
      <c r="I60" s="67">
        <f t="shared" si="63"/>
        <v>250</v>
      </c>
      <c r="J60" s="67">
        <f t="shared" si="63"/>
        <v>250</v>
      </c>
      <c r="K60" s="67">
        <f t="shared" si="63"/>
        <v>250</v>
      </c>
      <c r="L60" s="705">
        <v>1000</v>
      </c>
      <c r="N60" s="206" t="s">
        <v>705</v>
      </c>
      <c r="P60" s="66"/>
      <c r="Q60" s="195">
        <f>INDEX('Apportionment Bases'!AF$6:AF$33,MATCH($N60,'Apportionment Bases'!$A$6:$A$33,0))</f>
        <v>0</v>
      </c>
      <c r="R60" s="195">
        <f>INDEX('Apportionment Bases'!AG$6:AG$33,MATCH($N60,'Apportionment Bases'!$A$6:$A$33,0))</f>
        <v>0</v>
      </c>
      <c r="S60" s="199"/>
      <c r="T60" s="195">
        <f>INDEX('Apportionment Bases'!AI$6:AI$33,MATCH($N60,'Apportionment Bases'!$A$6:$A$33,0))</f>
        <v>1</v>
      </c>
      <c r="V60" s="66"/>
      <c r="W60" s="72">
        <f t="shared" si="13"/>
        <v>0</v>
      </c>
      <c r="X60" s="72">
        <f t="shared" si="48"/>
        <v>0</v>
      </c>
      <c r="Y60" s="66"/>
      <c r="Z60" s="72">
        <f t="shared" si="49"/>
        <v>1000</v>
      </c>
      <c r="AA60" s="266" t="str">
        <f t="shared" si="50"/>
        <v>TRUE</v>
      </c>
      <c r="AH60" s="301"/>
      <c r="AO60" s="79"/>
      <c r="AP60" s="44">
        <f t="shared" si="51"/>
        <v>0</v>
      </c>
      <c r="AQ60" s="44">
        <f t="shared" si="52"/>
        <v>0</v>
      </c>
      <c r="AR60" s="81"/>
      <c r="AS60" s="72">
        <f t="shared" si="53"/>
        <v>292</v>
      </c>
      <c r="AT60" s="301"/>
      <c r="AU60" s="79"/>
      <c r="AV60" s="72">
        <f t="shared" si="54"/>
        <v>0</v>
      </c>
      <c r="AW60" s="72">
        <f t="shared" si="55"/>
        <v>0</v>
      </c>
      <c r="AX60" s="81"/>
      <c r="AY60" s="72">
        <f t="shared" si="56"/>
        <v>299</v>
      </c>
      <c r="AZ60" s="301"/>
      <c r="BA60" s="79"/>
      <c r="BB60" s="72"/>
      <c r="BC60" s="72"/>
      <c r="BD60" s="81"/>
      <c r="BE60" s="72"/>
      <c r="CE60" s="79"/>
      <c r="CF60" s="72">
        <f t="shared" si="57"/>
        <v>0</v>
      </c>
      <c r="CG60" s="72">
        <f t="shared" si="58"/>
        <v>0</v>
      </c>
      <c r="CH60" s="81"/>
      <c r="CI60" s="72">
        <f t="shared" si="59"/>
        <v>30</v>
      </c>
      <c r="CJ60" s="301"/>
      <c r="CK60" s="79"/>
      <c r="CL60" s="72">
        <f t="shared" si="60"/>
        <v>0</v>
      </c>
      <c r="CM60" s="72">
        <f t="shared" si="61"/>
        <v>0</v>
      </c>
      <c r="CN60" s="81"/>
      <c r="CO60" s="72">
        <f t="shared" si="62"/>
        <v>379</v>
      </c>
      <c r="CP60" s="301"/>
    </row>
    <row r="61" spans="1:94" x14ac:dyDescent="0.25">
      <c r="A61" s="3" t="s">
        <v>243</v>
      </c>
      <c r="B61" s="3" t="s">
        <v>119</v>
      </c>
      <c r="C61" s="3" t="s">
        <v>47</v>
      </c>
      <c r="D61" s="3" t="s">
        <v>48</v>
      </c>
      <c r="E61" s="3" t="s">
        <v>48</v>
      </c>
      <c r="F61" s="3" t="s">
        <v>347</v>
      </c>
      <c r="G61" t="s">
        <v>120</v>
      </c>
      <c r="H61" s="67">
        <f t="shared" si="63"/>
        <v>0</v>
      </c>
      <c r="I61" s="67">
        <f t="shared" si="63"/>
        <v>0</v>
      </c>
      <c r="J61" s="67">
        <f t="shared" si="63"/>
        <v>0</v>
      </c>
      <c r="K61" s="67">
        <f t="shared" si="63"/>
        <v>0</v>
      </c>
      <c r="L61" s="705">
        <v>0</v>
      </c>
      <c r="N61" s="206" t="s">
        <v>705</v>
      </c>
      <c r="P61" s="66"/>
      <c r="Q61" s="195">
        <f>INDEX('Apportionment Bases'!AF$6:AF$33,MATCH($N61,'Apportionment Bases'!$A$6:$A$33,0))</f>
        <v>0</v>
      </c>
      <c r="R61" s="195">
        <f>INDEX('Apportionment Bases'!AG$6:AG$33,MATCH($N61,'Apportionment Bases'!$A$6:$A$33,0))</f>
        <v>0</v>
      </c>
      <c r="S61" s="199"/>
      <c r="T61" s="195">
        <f>INDEX('Apportionment Bases'!AI$6:AI$33,MATCH($N61,'Apportionment Bases'!$A$6:$A$33,0))</f>
        <v>1</v>
      </c>
      <c r="V61" s="66"/>
      <c r="W61" s="72">
        <f t="shared" si="13"/>
        <v>0</v>
      </c>
      <c r="X61" s="72">
        <f t="shared" si="48"/>
        <v>0</v>
      </c>
      <c r="Y61" s="66"/>
      <c r="Z61" s="72">
        <f t="shared" si="49"/>
        <v>0</v>
      </c>
      <c r="AA61" s="266" t="str">
        <f t="shared" si="50"/>
        <v>TRUE</v>
      </c>
      <c r="AH61" s="301"/>
      <c r="AO61" s="79"/>
      <c r="AP61" s="44">
        <f t="shared" si="51"/>
        <v>0</v>
      </c>
      <c r="AQ61" s="44">
        <f t="shared" si="52"/>
        <v>0</v>
      </c>
      <c r="AR61" s="81"/>
      <c r="AS61" s="72">
        <f t="shared" si="53"/>
        <v>0</v>
      </c>
      <c r="AT61" s="301"/>
      <c r="AU61" s="79"/>
      <c r="AV61" s="72">
        <f t="shared" si="54"/>
        <v>0</v>
      </c>
      <c r="AW61" s="72">
        <f t="shared" si="55"/>
        <v>0</v>
      </c>
      <c r="AX61" s="81"/>
      <c r="AY61" s="72">
        <f t="shared" si="56"/>
        <v>0</v>
      </c>
      <c r="AZ61" s="301"/>
      <c r="BA61" s="79"/>
      <c r="BB61" s="72"/>
      <c r="BC61" s="72"/>
      <c r="BD61" s="81"/>
      <c r="BE61" s="72"/>
      <c r="CE61" s="79"/>
      <c r="CF61" s="72">
        <f t="shared" si="57"/>
        <v>0</v>
      </c>
      <c r="CG61" s="72">
        <f t="shared" si="58"/>
        <v>0</v>
      </c>
      <c r="CH61" s="81"/>
      <c r="CI61" s="72">
        <f t="shared" si="59"/>
        <v>0</v>
      </c>
      <c r="CJ61" s="301"/>
      <c r="CK61" s="79"/>
      <c r="CL61" s="72">
        <f t="shared" si="60"/>
        <v>0</v>
      </c>
      <c r="CM61" s="72">
        <f t="shared" si="61"/>
        <v>0</v>
      </c>
      <c r="CN61" s="81"/>
      <c r="CO61" s="72">
        <f t="shared" si="62"/>
        <v>0</v>
      </c>
      <c r="CP61" s="301"/>
    </row>
    <row r="62" spans="1:94" x14ac:dyDescent="0.25">
      <c r="A62" s="3" t="s">
        <v>243</v>
      </c>
      <c r="B62" s="3" t="s">
        <v>119</v>
      </c>
      <c r="C62" s="3" t="s">
        <v>45</v>
      </c>
      <c r="D62" s="3" t="s">
        <v>48</v>
      </c>
      <c r="E62" s="3" t="s">
        <v>48</v>
      </c>
      <c r="F62" s="3" t="s">
        <v>348</v>
      </c>
      <c r="G62" t="s">
        <v>120</v>
      </c>
      <c r="H62" s="67">
        <f t="shared" si="63"/>
        <v>1626</v>
      </c>
      <c r="I62" s="67">
        <f t="shared" si="63"/>
        <v>1626</v>
      </c>
      <c r="J62" s="67">
        <f t="shared" si="63"/>
        <v>1626</v>
      </c>
      <c r="K62" s="67">
        <f t="shared" si="63"/>
        <v>1626</v>
      </c>
      <c r="L62" s="705">
        <v>6504</v>
      </c>
      <c r="N62" s="206" t="s">
        <v>705</v>
      </c>
      <c r="P62" s="66"/>
      <c r="Q62" s="195">
        <f>INDEX('Apportionment Bases'!AF$6:AF$33,MATCH($N62,'Apportionment Bases'!$A$6:$A$33,0))</f>
        <v>0</v>
      </c>
      <c r="R62" s="195">
        <f>INDEX('Apportionment Bases'!AG$6:AG$33,MATCH($N62,'Apportionment Bases'!$A$6:$A$33,0))</f>
        <v>0</v>
      </c>
      <c r="S62" s="199"/>
      <c r="T62" s="195">
        <f>INDEX('Apportionment Bases'!AI$6:AI$33,MATCH($N62,'Apportionment Bases'!$A$6:$A$33,0))</f>
        <v>1</v>
      </c>
      <c r="V62" s="66"/>
      <c r="W62" s="72">
        <f t="shared" si="13"/>
        <v>0</v>
      </c>
      <c r="X62" s="72">
        <f t="shared" si="48"/>
        <v>0</v>
      </c>
      <c r="Y62" s="66"/>
      <c r="Z62" s="72">
        <f t="shared" si="49"/>
        <v>6504</v>
      </c>
      <c r="AA62" s="266" t="str">
        <f t="shared" si="50"/>
        <v>TRUE</v>
      </c>
      <c r="AH62" s="301"/>
      <c r="AO62" s="79"/>
      <c r="AP62" s="44">
        <f t="shared" si="51"/>
        <v>0</v>
      </c>
      <c r="AQ62" s="44">
        <f t="shared" si="52"/>
        <v>0</v>
      </c>
      <c r="AR62" s="81"/>
      <c r="AS62" s="72">
        <f t="shared" si="53"/>
        <v>1899.1679999999999</v>
      </c>
      <c r="AT62" s="301"/>
      <c r="AU62" s="79"/>
      <c r="AV62" s="72">
        <f t="shared" si="54"/>
        <v>0</v>
      </c>
      <c r="AW62" s="72">
        <f t="shared" si="55"/>
        <v>0</v>
      </c>
      <c r="AX62" s="81"/>
      <c r="AY62" s="72">
        <f t="shared" si="56"/>
        <v>1944.6959999999999</v>
      </c>
      <c r="AZ62" s="301"/>
      <c r="BA62" s="79"/>
      <c r="BB62" s="72"/>
      <c r="BC62" s="72"/>
      <c r="BD62" s="81"/>
      <c r="BE62" s="72"/>
      <c r="CE62" s="79"/>
      <c r="CF62" s="72">
        <f t="shared" si="57"/>
        <v>0</v>
      </c>
      <c r="CG62" s="72">
        <f t="shared" si="58"/>
        <v>0</v>
      </c>
      <c r="CH62" s="81"/>
      <c r="CI62" s="72">
        <f t="shared" si="59"/>
        <v>195.12</v>
      </c>
      <c r="CJ62" s="301"/>
      <c r="CK62" s="79"/>
      <c r="CL62" s="72">
        <f t="shared" si="60"/>
        <v>0</v>
      </c>
      <c r="CM62" s="72">
        <f t="shared" si="61"/>
        <v>0</v>
      </c>
      <c r="CN62" s="81"/>
      <c r="CO62" s="72">
        <f t="shared" si="62"/>
        <v>2465.0160000000001</v>
      </c>
      <c r="CP62" s="301"/>
    </row>
    <row r="63" spans="1:94" x14ac:dyDescent="0.25">
      <c r="A63" s="3" t="s">
        <v>243</v>
      </c>
      <c r="B63" s="3" t="s">
        <v>121</v>
      </c>
      <c r="C63" s="3" t="s">
        <v>47</v>
      </c>
      <c r="D63" s="3" t="s">
        <v>48</v>
      </c>
      <c r="E63" s="3" t="s">
        <v>48</v>
      </c>
      <c r="F63" s="3" t="s">
        <v>349</v>
      </c>
      <c r="G63" t="s">
        <v>122</v>
      </c>
      <c r="H63" s="67">
        <f t="shared" si="63"/>
        <v>750</v>
      </c>
      <c r="I63" s="67">
        <f t="shared" si="63"/>
        <v>750</v>
      </c>
      <c r="J63" s="67">
        <f t="shared" si="63"/>
        <v>750</v>
      </c>
      <c r="K63" s="67">
        <f t="shared" si="63"/>
        <v>750</v>
      </c>
      <c r="L63" s="705">
        <v>3000</v>
      </c>
      <c r="N63" s="206" t="s">
        <v>705</v>
      </c>
      <c r="P63" s="66"/>
      <c r="Q63" s="195">
        <f>INDEX('Apportionment Bases'!AF$6:AF$33,MATCH($N63,'Apportionment Bases'!$A$6:$A$33,0))</f>
        <v>0</v>
      </c>
      <c r="R63" s="195">
        <f>INDEX('Apportionment Bases'!AG$6:AG$33,MATCH($N63,'Apportionment Bases'!$A$6:$A$33,0))</f>
        <v>0</v>
      </c>
      <c r="S63" s="199"/>
      <c r="T63" s="195">
        <f>INDEX('Apportionment Bases'!AI$6:AI$33,MATCH($N63,'Apportionment Bases'!$A$6:$A$33,0))</f>
        <v>1</v>
      </c>
      <c r="V63" s="66"/>
      <c r="W63" s="72">
        <f t="shared" si="13"/>
        <v>0</v>
      </c>
      <c r="X63" s="72">
        <f t="shared" si="48"/>
        <v>0</v>
      </c>
      <c r="Y63" s="66"/>
      <c r="Z63" s="72">
        <f t="shared" si="49"/>
        <v>3000</v>
      </c>
      <c r="AA63" s="266" t="str">
        <f t="shared" si="50"/>
        <v>TRUE</v>
      </c>
      <c r="AH63" s="301"/>
      <c r="AO63" s="79"/>
      <c r="AP63" s="44">
        <f t="shared" si="51"/>
        <v>0</v>
      </c>
      <c r="AQ63" s="44">
        <f t="shared" si="52"/>
        <v>0</v>
      </c>
      <c r="AR63" s="81"/>
      <c r="AS63" s="72">
        <f t="shared" si="53"/>
        <v>876</v>
      </c>
      <c r="AT63" s="301"/>
      <c r="AU63" s="79"/>
      <c r="AV63" s="72">
        <f t="shared" si="54"/>
        <v>0</v>
      </c>
      <c r="AW63" s="72">
        <f t="shared" si="55"/>
        <v>0</v>
      </c>
      <c r="AX63" s="81"/>
      <c r="AY63" s="72">
        <f t="shared" si="56"/>
        <v>897</v>
      </c>
      <c r="AZ63" s="301"/>
      <c r="BA63" s="79"/>
      <c r="BB63" s="72"/>
      <c r="BC63" s="72"/>
      <c r="BD63" s="81"/>
      <c r="BE63" s="72"/>
      <c r="CE63" s="79"/>
      <c r="CF63" s="72">
        <f t="shared" si="57"/>
        <v>0</v>
      </c>
      <c r="CG63" s="72">
        <f t="shared" si="58"/>
        <v>0</v>
      </c>
      <c r="CH63" s="81"/>
      <c r="CI63" s="72">
        <f t="shared" si="59"/>
        <v>90</v>
      </c>
      <c r="CJ63" s="301"/>
      <c r="CK63" s="79"/>
      <c r="CL63" s="72">
        <f t="shared" si="60"/>
        <v>0</v>
      </c>
      <c r="CM63" s="72">
        <f t="shared" si="61"/>
        <v>0</v>
      </c>
      <c r="CN63" s="81"/>
      <c r="CO63" s="72">
        <f t="shared" si="62"/>
        <v>1137</v>
      </c>
      <c r="CP63" s="301"/>
    </row>
    <row r="64" spans="1:94" x14ac:dyDescent="0.25">
      <c r="A64" s="3" t="s">
        <v>243</v>
      </c>
      <c r="B64" s="3" t="s">
        <v>121</v>
      </c>
      <c r="C64" s="3" t="s">
        <v>45</v>
      </c>
      <c r="D64" s="3" t="s">
        <v>48</v>
      </c>
      <c r="E64" s="3" t="s">
        <v>48</v>
      </c>
      <c r="F64" s="3" t="s">
        <v>350</v>
      </c>
      <c r="G64" t="s">
        <v>122</v>
      </c>
      <c r="H64" s="67">
        <f t="shared" si="63"/>
        <v>200</v>
      </c>
      <c r="I64" s="67">
        <f t="shared" si="63"/>
        <v>200</v>
      </c>
      <c r="J64" s="67">
        <f t="shared" si="63"/>
        <v>200</v>
      </c>
      <c r="K64" s="67">
        <f t="shared" si="63"/>
        <v>200</v>
      </c>
      <c r="L64" s="705">
        <v>800</v>
      </c>
      <c r="N64" s="206" t="s">
        <v>705</v>
      </c>
      <c r="P64" s="66"/>
      <c r="Q64" s="195">
        <f>INDEX('Apportionment Bases'!AF$6:AF$33,MATCH($N64,'Apportionment Bases'!$A$6:$A$33,0))</f>
        <v>0</v>
      </c>
      <c r="R64" s="195">
        <f>INDEX('Apportionment Bases'!AG$6:AG$33,MATCH($N64,'Apportionment Bases'!$A$6:$A$33,0))</f>
        <v>0</v>
      </c>
      <c r="S64" s="199"/>
      <c r="T64" s="195">
        <f>INDEX('Apportionment Bases'!AI$6:AI$33,MATCH($N64,'Apportionment Bases'!$A$6:$A$33,0))</f>
        <v>1</v>
      </c>
      <c r="V64" s="66"/>
      <c r="W64" s="72">
        <f t="shared" si="13"/>
        <v>0</v>
      </c>
      <c r="X64" s="72">
        <f t="shared" si="48"/>
        <v>0</v>
      </c>
      <c r="Y64" s="66"/>
      <c r="Z64" s="72">
        <f t="shared" si="49"/>
        <v>800</v>
      </c>
      <c r="AA64" s="266" t="str">
        <f t="shared" si="50"/>
        <v>TRUE</v>
      </c>
      <c r="AH64" s="301"/>
      <c r="AO64" s="79"/>
      <c r="AP64" s="44">
        <f t="shared" si="51"/>
        <v>0</v>
      </c>
      <c r="AQ64" s="44">
        <f t="shared" si="52"/>
        <v>0</v>
      </c>
      <c r="AR64" s="81"/>
      <c r="AS64" s="72">
        <f t="shared" si="53"/>
        <v>233.6</v>
      </c>
      <c r="AT64" s="301"/>
      <c r="AU64" s="79"/>
      <c r="AV64" s="72">
        <f t="shared" si="54"/>
        <v>0</v>
      </c>
      <c r="AW64" s="72">
        <f t="shared" si="55"/>
        <v>0</v>
      </c>
      <c r="AX64" s="81"/>
      <c r="AY64" s="72">
        <f t="shared" si="56"/>
        <v>239.2</v>
      </c>
      <c r="AZ64" s="301"/>
      <c r="BA64" s="79"/>
      <c r="BB64" s="72"/>
      <c r="BC64" s="72"/>
      <c r="BD64" s="81"/>
      <c r="BE64" s="72"/>
      <c r="CE64" s="79"/>
      <c r="CF64" s="72">
        <f t="shared" si="57"/>
        <v>0</v>
      </c>
      <c r="CG64" s="72">
        <f t="shared" si="58"/>
        <v>0</v>
      </c>
      <c r="CH64" s="81"/>
      <c r="CI64" s="72">
        <f t="shared" si="59"/>
        <v>24</v>
      </c>
      <c r="CJ64" s="301"/>
      <c r="CK64" s="79"/>
      <c r="CL64" s="72">
        <f t="shared" si="60"/>
        <v>0</v>
      </c>
      <c r="CM64" s="72">
        <f t="shared" si="61"/>
        <v>0</v>
      </c>
      <c r="CN64" s="81"/>
      <c r="CO64" s="72">
        <f t="shared" si="62"/>
        <v>303.2</v>
      </c>
      <c r="CP64" s="301"/>
    </row>
    <row r="65" spans="1:94" x14ac:dyDescent="0.25">
      <c r="A65" s="3" t="s">
        <v>243</v>
      </c>
      <c r="B65" s="3" t="s">
        <v>296</v>
      </c>
      <c r="C65" s="3" t="s">
        <v>47</v>
      </c>
      <c r="D65" s="3" t="s">
        <v>48</v>
      </c>
      <c r="E65" s="3" t="s">
        <v>48</v>
      </c>
      <c r="F65" s="3" t="s">
        <v>351</v>
      </c>
      <c r="G65" t="s">
        <v>297</v>
      </c>
      <c r="H65" s="67">
        <f t="shared" si="63"/>
        <v>11750</v>
      </c>
      <c r="I65" s="67">
        <f t="shared" si="63"/>
        <v>11750</v>
      </c>
      <c r="J65" s="67">
        <f t="shared" si="63"/>
        <v>11750</v>
      </c>
      <c r="K65" s="67">
        <f t="shared" si="63"/>
        <v>11750</v>
      </c>
      <c r="L65" s="705">
        <v>47000</v>
      </c>
      <c r="N65" s="206" t="s">
        <v>705</v>
      </c>
      <c r="P65" s="66"/>
      <c r="Q65" s="195">
        <f>INDEX('Apportionment Bases'!AF$6:AF$33,MATCH($N65,'Apportionment Bases'!$A$6:$A$33,0))</f>
        <v>0</v>
      </c>
      <c r="R65" s="195">
        <f>INDEX('Apportionment Bases'!AG$6:AG$33,MATCH($N65,'Apportionment Bases'!$A$6:$A$33,0))</f>
        <v>0</v>
      </c>
      <c r="S65" s="199"/>
      <c r="T65" s="195">
        <f>INDEX('Apportionment Bases'!AI$6:AI$33,MATCH($N65,'Apportionment Bases'!$A$6:$A$33,0))</f>
        <v>1</v>
      </c>
      <c r="V65" s="66"/>
      <c r="W65" s="72">
        <f t="shared" si="13"/>
        <v>0</v>
      </c>
      <c r="X65" s="72">
        <f t="shared" si="48"/>
        <v>0</v>
      </c>
      <c r="Y65" s="66"/>
      <c r="Z65" s="72">
        <f t="shared" si="49"/>
        <v>47000</v>
      </c>
      <c r="AA65" s="266" t="str">
        <f t="shared" si="50"/>
        <v>TRUE</v>
      </c>
      <c r="AH65" s="301"/>
      <c r="AO65" s="79"/>
      <c r="AP65" s="44">
        <f t="shared" si="51"/>
        <v>0</v>
      </c>
      <c r="AQ65" s="44">
        <f t="shared" si="52"/>
        <v>0</v>
      </c>
      <c r="AR65" s="81"/>
      <c r="AS65" s="72">
        <f t="shared" si="53"/>
        <v>13724</v>
      </c>
      <c r="AT65" s="301"/>
      <c r="AU65" s="79"/>
      <c r="AV65" s="72">
        <f t="shared" si="54"/>
        <v>0</v>
      </c>
      <c r="AW65" s="72">
        <f t="shared" si="55"/>
        <v>0</v>
      </c>
      <c r="AX65" s="81"/>
      <c r="AY65" s="72">
        <f t="shared" si="56"/>
        <v>14053</v>
      </c>
      <c r="AZ65" s="301"/>
      <c r="BA65" s="79"/>
      <c r="BB65" s="72"/>
      <c r="BC65" s="72"/>
      <c r="BD65" s="81"/>
      <c r="BE65" s="72"/>
      <c r="CE65" s="79"/>
      <c r="CF65" s="72">
        <f t="shared" si="57"/>
        <v>0</v>
      </c>
      <c r="CG65" s="72">
        <f t="shared" si="58"/>
        <v>0</v>
      </c>
      <c r="CH65" s="81"/>
      <c r="CI65" s="72">
        <f t="shared" si="59"/>
        <v>1410</v>
      </c>
      <c r="CJ65" s="301"/>
      <c r="CK65" s="79"/>
      <c r="CL65" s="72">
        <f t="shared" si="60"/>
        <v>0</v>
      </c>
      <c r="CM65" s="72">
        <f t="shared" si="61"/>
        <v>0</v>
      </c>
      <c r="CN65" s="81"/>
      <c r="CO65" s="72">
        <f t="shared" si="62"/>
        <v>17813</v>
      </c>
      <c r="CP65" s="301"/>
    </row>
    <row r="66" spans="1:94" x14ac:dyDescent="0.25">
      <c r="A66" s="3" t="s">
        <v>243</v>
      </c>
      <c r="B66" s="3" t="s">
        <v>298</v>
      </c>
      <c r="C66" s="3" t="s">
        <v>47</v>
      </c>
      <c r="D66" s="3" t="s">
        <v>48</v>
      </c>
      <c r="E66" s="3" t="s">
        <v>48</v>
      </c>
      <c r="F66" s="3" t="s">
        <v>352</v>
      </c>
      <c r="G66" t="s">
        <v>299</v>
      </c>
      <c r="H66" s="67">
        <f t="shared" si="63"/>
        <v>4750</v>
      </c>
      <c r="I66" s="67">
        <f t="shared" si="63"/>
        <v>4750</v>
      </c>
      <c r="J66" s="67">
        <f t="shared" si="63"/>
        <v>4750</v>
      </c>
      <c r="K66" s="67">
        <f t="shared" si="63"/>
        <v>4750</v>
      </c>
      <c r="L66" s="705">
        <v>19000</v>
      </c>
      <c r="N66" s="206" t="s">
        <v>705</v>
      </c>
      <c r="P66" s="66"/>
      <c r="Q66" s="195">
        <f>INDEX('Apportionment Bases'!AF$6:AF$33,MATCH($N66,'Apportionment Bases'!$A$6:$A$33,0))</f>
        <v>0</v>
      </c>
      <c r="R66" s="195">
        <f>INDEX('Apportionment Bases'!AG$6:AG$33,MATCH($N66,'Apportionment Bases'!$A$6:$A$33,0))</f>
        <v>0</v>
      </c>
      <c r="S66" s="199"/>
      <c r="T66" s="195">
        <f>INDEX('Apportionment Bases'!AI$6:AI$33,MATCH($N66,'Apportionment Bases'!$A$6:$A$33,0))</f>
        <v>1</v>
      </c>
      <c r="V66" s="66"/>
      <c r="W66" s="72">
        <f t="shared" si="13"/>
        <v>0</v>
      </c>
      <c r="X66" s="72">
        <f t="shared" si="48"/>
        <v>0</v>
      </c>
      <c r="Y66" s="66"/>
      <c r="Z66" s="72">
        <f t="shared" si="49"/>
        <v>19000</v>
      </c>
      <c r="AA66" s="266" t="str">
        <f t="shared" si="50"/>
        <v>TRUE</v>
      </c>
      <c r="AH66" s="301"/>
      <c r="AO66" s="79"/>
      <c r="AP66" s="44">
        <f t="shared" si="51"/>
        <v>0</v>
      </c>
      <c r="AQ66" s="44">
        <f t="shared" si="52"/>
        <v>0</v>
      </c>
      <c r="AR66" s="81"/>
      <c r="AS66" s="72">
        <f t="shared" si="53"/>
        <v>5548</v>
      </c>
      <c r="AT66" s="301"/>
      <c r="AU66" s="79"/>
      <c r="AV66" s="72">
        <f t="shared" si="54"/>
        <v>0</v>
      </c>
      <c r="AW66" s="72">
        <f t="shared" si="55"/>
        <v>0</v>
      </c>
      <c r="AX66" s="81"/>
      <c r="AY66" s="72">
        <f t="shared" si="56"/>
        <v>5681</v>
      </c>
      <c r="AZ66" s="301"/>
      <c r="BA66" s="79"/>
      <c r="BB66" s="72"/>
      <c r="BC66" s="72"/>
      <c r="BD66" s="81"/>
      <c r="BE66" s="72"/>
      <c r="CE66" s="79"/>
      <c r="CF66" s="72">
        <f t="shared" si="57"/>
        <v>0</v>
      </c>
      <c r="CG66" s="72">
        <f t="shared" si="58"/>
        <v>0</v>
      </c>
      <c r="CH66" s="81"/>
      <c r="CI66" s="72">
        <f t="shared" si="59"/>
        <v>570</v>
      </c>
      <c r="CJ66" s="301"/>
      <c r="CK66" s="79"/>
      <c r="CL66" s="72">
        <f t="shared" si="60"/>
        <v>0</v>
      </c>
      <c r="CM66" s="72">
        <f t="shared" si="61"/>
        <v>0</v>
      </c>
      <c r="CN66" s="81"/>
      <c r="CO66" s="72">
        <f t="shared" si="62"/>
        <v>7201</v>
      </c>
      <c r="CP66" s="301"/>
    </row>
    <row r="67" spans="1:94" x14ac:dyDescent="0.25">
      <c r="A67" s="3" t="s">
        <v>243</v>
      </c>
      <c r="B67" s="3" t="s">
        <v>123</v>
      </c>
      <c r="C67" s="3" t="s">
        <v>47</v>
      </c>
      <c r="D67" s="3" t="s">
        <v>48</v>
      </c>
      <c r="E67" s="3" t="s">
        <v>48</v>
      </c>
      <c r="F67" s="3" t="s">
        <v>353</v>
      </c>
      <c r="G67" t="s">
        <v>124</v>
      </c>
      <c r="H67" s="67">
        <f t="shared" si="63"/>
        <v>31250</v>
      </c>
      <c r="I67" s="67">
        <f t="shared" si="63"/>
        <v>31250</v>
      </c>
      <c r="J67" s="67">
        <f t="shared" si="63"/>
        <v>31250</v>
      </c>
      <c r="K67" s="67">
        <f t="shared" si="63"/>
        <v>31250</v>
      </c>
      <c r="L67" s="705">
        <v>125000</v>
      </c>
      <c r="N67" s="209" t="s">
        <v>3</v>
      </c>
      <c r="P67" s="66"/>
      <c r="Q67" s="195">
        <f>INDEX('Apportionment Bases'!AF$6:AF$33,MATCH($N67,'Apportionment Bases'!$A$6:$A$33,0))</f>
        <v>1</v>
      </c>
      <c r="R67" s="195">
        <f>INDEX('Apportionment Bases'!AG$6:AG$33,MATCH($N67,'Apportionment Bases'!$A$6:$A$33,0))</f>
        <v>0</v>
      </c>
      <c r="S67" s="199"/>
      <c r="T67" s="195">
        <f>INDEX('Apportionment Bases'!AI$6:AI$33,MATCH($N67,'Apportionment Bases'!$A$6:$A$33,0))</f>
        <v>0</v>
      </c>
      <c r="V67" s="66"/>
      <c r="W67" s="72">
        <f t="shared" si="13"/>
        <v>125000</v>
      </c>
      <c r="X67" s="72">
        <f t="shared" si="48"/>
        <v>0</v>
      </c>
      <c r="Y67" s="66"/>
      <c r="Z67" s="72">
        <f t="shared" si="49"/>
        <v>0</v>
      </c>
      <c r="AA67" s="266" t="str">
        <f t="shared" si="50"/>
        <v>TRUE</v>
      </c>
      <c r="AH67" s="301"/>
      <c r="AO67" s="79"/>
      <c r="AP67" s="44">
        <f t="shared" si="51"/>
        <v>0</v>
      </c>
      <c r="AQ67" s="44">
        <f t="shared" si="52"/>
        <v>0</v>
      </c>
      <c r="AR67" s="81"/>
      <c r="AS67" s="72">
        <f t="shared" si="53"/>
        <v>0</v>
      </c>
      <c r="AT67" s="301"/>
      <c r="AU67" s="79"/>
      <c r="AV67" s="72">
        <f t="shared" si="54"/>
        <v>52219.855832241148</v>
      </c>
      <c r="AW67" s="72">
        <f t="shared" si="55"/>
        <v>0</v>
      </c>
      <c r="AX67" s="81"/>
      <c r="AY67" s="72">
        <f t="shared" si="56"/>
        <v>0</v>
      </c>
      <c r="AZ67" s="301"/>
      <c r="BA67" s="79"/>
      <c r="BB67" s="72"/>
      <c r="BC67" s="72"/>
      <c r="BD67" s="81"/>
      <c r="BE67" s="72"/>
      <c r="CE67" s="79"/>
      <c r="CF67" s="72">
        <f t="shared" si="57"/>
        <v>2047.8374836173002</v>
      </c>
      <c r="CG67" s="72">
        <f t="shared" si="58"/>
        <v>0</v>
      </c>
      <c r="CH67" s="81"/>
      <c r="CI67" s="72">
        <f t="shared" si="59"/>
        <v>0</v>
      </c>
      <c r="CJ67" s="301"/>
      <c r="CK67" s="79"/>
      <c r="CL67" s="72">
        <f t="shared" si="60"/>
        <v>70732.306684141542</v>
      </c>
      <c r="CM67" s="72">
        <f t="shared" si="61"/>
        <v>0</v>
      </c>
      <c r="CN67" s="81"/>
      <c r="CO67" s="72">
        <f t="shared" si="62"/>
        <v>0</v>
      </c>
      <c r="CP67" s="301"/>
    </row>
    <row r="68" spans="1:94" x14ac:dyDescent="0.25">
      <c r="A68" s="3" t="s">
        <v>243</v>
      </c>
      <c r="B68" s="3" t="s">
        <v>125</v>
      </c>
      <c r="C68" s="3" t="s">
        <v>47</v>
      </c>
      <c r="D68" s="3" t="s">
        <v>48</v>
      </c>
      <c r="E68" s="3" t="s">
        <v>48</v>
      </c>
      <c r="F68" s="3" t="s">
        <v>354</v>
      </c>
      <c r="G68" t="s">
        <v>126</v>
      </c>
      <c r="H68" s="67">
        <f t="shared" si="63"/>
        <v>1000</v>
      </c>
      <c r="I68" s="67">
        <f t="shared" si="63"/>
        <v>1000</v>
      </c>
      <c r="J68" s="67">
        <f t="shared" si="63"/>
        <v>1000</v>
      </c>
      <c r="K68" s="67">
        <f t="shared" si="63"/>
        <v>1000</v>
      </c>
      <c r="L68" s="705">
        <v>4000</v>
      </c>
      <c r="N68" s="206" t="s">
        <v>705</v>
      </c>
      <c r="P68" s="66"/>
      <c r="Q68" s="195">
        <f>INDEX('Apportionment Bases'!AF$6:AF$33,MATCH($N68,'Apportionment Bases'!$A$6:$A$33,0))</f>
        <v>0</v>
      </c>
      <c r="R68" s="195">
        <f>INDEX('Apportionment Bases'!AG$6:AG$33,MATCH($N68,'Apportionment Bases'!$A$6:$A$33,0))</f>
        <v>0</v>
      </c>
      <c r="S68" s="199"/>
      <c r="T68" s="195">
        <f>INDEX('Apportionment Bases'!AI$6:AI$33,MATCH($N68,'Apportionment Bases'!$A$6:$A$33,0))</f>
        <v>1</v>
      </c>
      <c r="V68" s="66"/>
      <c r="W68" s="72">
        <f t="shared" si="13"/>
        <v>0</v>
      </c>
      <c r="X68" s="72">
        <f t="shared" si="48"/>
        <v>0</v>
      </c>
      <c r="Y68" s="66"/>
      <c r="Z68" s="72">
        <f t="shared" si="49"/>
        <v>4000</v>
      </c>
      <c r="AA68" s="266" t="str">
        <f t="shared" si="50"/>
        <v>TRUE</v>
      </c>
      <c r="AH68" s="301"/>
      <c r="AO68" s="79"/>
      <c r="AP68" s="44">
        <f t="shared" si="51"/>
        <v>0</v>
      </c>
      <c r="AQ68" s="44">
        <f t="shared" si="52"/>
        <v>0</v>
      </c>
      <c r="AR68" s="81"/>
      <c r="AS68" s="72">
        <f t="shared" si="53"/>
        <v>1168</v>
      </c>
      <c r="AT68" s="301"/>
      <c r="AU68" s="79"/>
      <c r="AV68" s="72">
        <f t="shared" si="54"/>
        <v>0</v>
      </c>
      <c r="AW68" s="72">
        <f t="shared" si="55"/>
        <v>0</v>
      </c>
      <c r="AX68" s="81"/>
      <c r="AY68" s="72">
        <f t="shared" si="56"/>
        <v>1196</v>
      </c>
      <c r="AZ68" s="301"/>
      <c r="BA68" s="79"/>
      <c r="BB68" s="72"/>
      <c r="BC68" s="72"/>
      <c r="BD68" s="81"/>
      <c r="BE68" s="72"/>
      <c r="CE68" s="79"/>
      <c r="CF68" s="72">
        <f t="shared" si="57"/>
        <v>0</v>
      </c>
      <c r="CG68" s="72">
        <f t="shared" si="58"/>
        <v>0</v>
      </c>
      <c r="CH68" s="81"/>
      <c r="CI68" s="72">
        <f t="shared" si="59"/>
        <v>120</v>
      </c>
      <c r="CJ68" s="301"/>
      <c r="CK68" s="79"/>
      <c r="CL68" s="72">
        <f t="shared" si="60"/>
        <v>0</v>
      </c>
      <c r="CM68" s="72">
        <f t="shared" si="61"/>
        <v>0</v>
      </c>
      <c r="CN68" s="81"/>
      <c r="CO68" s="72">
        <f t="shared" si="62"/>
        <v>1516</v>
      </c>
      <c r="CP68" s="301"/>
    </row>
    <row r="69" spans="1:94" x14ac:dyDescent="0.25">
      <c r="A69" s="3" t="s">
        <v>243</v>
      </c>
      <c r="B69" s="3" t="s">
        <v>127</v>
      </c>
      <c r="C69" s="3" t="s">
        <v>47</v>
      </c>
      <c r="D69" s="3" t="s">
        <v>48</v>
      </c>
      <c r="E69" s="3" t="s">
        <v>48</v>
      </c>
      <c r="F69" s="3" t="s">
        <v>355</v>
      </c>
      <c r="G69" t="s">
        <v>128</v>
      </c>
      <c r="H69" s="67">
        <f t="shared" si="63"/>
        <v>5000</v>
      </c>
      <c r="I69" s="67">
        <f t="shared" si="63"/>
        <v>5000</v>
      </c>
      <c r="J69" s="67">
        <f t="shared" si="63"/>
        <v>5000</v>
      </c>
      <c r="K69" s="67">
        <f t="shared" si="63"/>
        <v>5000</v>
      </c>
      <c r="L69" s="705">
        <v>20000</v>
      </c>
      <c r="N69" s="206" t="s">
        <v>705</v>
      </c>
      <c r="P69" s="66"/>
      <c r="Q69" s="195">
        <f>INDEX('Apportionment Bases'!AF$6:AF$33,MATCH($N69,'Apportionment Bases'!$A$6:$A$33,0))</f>
        <v>0</v>
      </c>
      <c r="R69" s="195">
        <f>INDEX('Apportionment Bases'!AG$6:AG$33,MATCH($N69,'Apportionment Bases'!$A$6:$A$33,0))</f>
        <v>0</v>
      </c>
      <c r="S69" s="199"/>
      <c r="T69" s="195">
        <f>INDEX('Apportionment Bases'!AI$6:AI$33,MATCH($N69,'Apportionment Bases'!$A$6:$A$33,0))</f>
        <v>1</v>
      </c>
      <c r="V69" s="66"/>
      <c r="W69" s="72">
        <f t="shared" si="13"/>
        <v>0</v>
      </c>
      <c r="X69" s="72">
        <f t="shared" si="48"/>
        <v>0</v>
      </c>
      <c r="Y69" s="66"/>
      <c r="Z69" s="72">
        <f t="shared" si="49"/>
        <v>20000</v>
      </c>
      <c r="AA69" s="266" t="str">
        <f t="shared" si="50"/>
        <v>TRUE</v>
      </c>
      <c r="AH69" s="301"/>
      <c r="AO69" s="79"/>
      <c r="AP69" s="44">
        <f t="shared" si="51"/>
        <v>0</v>
      </c>
      <c r="AQ69" s="44">
        <f t="shared" si="52"/>
        <v>0</v>
      </c>
      <c r="AR69" s="81"/>
      <c r="AS69" s="72">
        <f t="shared" si="53"/>
        <v>5840</v>
      </c>
      <c r="AT69" s="301"/>
      <c r="AU69" s="79"/>
      <c r="AV69" s="72">
        <f t="shared" si="54"/>
        <v>0</v>
      </c>
      <c r="AW69" s="72">
        <f t="shared" si="55"/>
        <v>0</v>
      </c>
      <c r="AX69" s="81"/>
      <c r="AY69" s="72">
        <f t="shared" si="56"/>
        <v>5980</v>
      </c>
      <c r="AZ69" s="301"/>
      <c r="BA69" s="79"/>
      <c r="BB69" s="72"/>
      <c r="BC69" s="72"/>
      <c r="BD69" s="81"/>
      <c r="BE69" s="72"/>
      <c r="CE69" s="79"/>
      <c r="CF69" s="72">
        <f t="shared" si="57"/>
        <v>0</v>
      </c>
      <c r="CG69" s="72">
        <f t="shared" si="58"/>
        <v>0</v>
      </c>
      <c r="CH69" s="81"/>
      <c r="CI69" s="72">
        <f t="shared" si="59"/>
        <v>600</v>
      </c>
      <c r="CJ69" s="301"/>
      <c r="CK69" s="79"/>
      <c r="CL69" s="72">
        <f t="shared" si="60"/>
        <v>0</v>
      </c>
      <c r="CM69" s="72">
        <f t="shared" si="61"/>
        <v>0</v>
      </c>
      <c r="CN69" s="81"/>
      <c r="CO69" s="72">
        <f t="shared" si="62"/>
        <v>7580</v>
      </c>
      <c r="CP69" s="301"/>
    </row>
    <row r="70" spans="1:94" x14ac:dyDescent="0.25">
      <c r="A70" s="3" t="s">
        <v>243</v>
      </c>
      <c r="B70" s="3" t="s">
        <v>131</v>
      </c>
      <c r="C70" s="3" t="s">
        <v>47</v>
      </c>
      <c r="D70" s="3" t="s">
        <v>48</v>
      </c>
      <c r="E70" s="3" t="s">
        <v>48</v>
      </c>
      <c r="F70" s="3" t="s">
        <v>356</v>
      </c>
      <c r="G70" t="s">
        <v>132</v>
      </c>
      <c r="H70" s="67">
        <f t="shared" si="63"/>
        <v>250</v>
      </c>
      <c r="I70" s="67">
        <f t="shared" si="63"/>
        <v>250</v>
      </c>
      <c r="J70" s="67">
        <f t="shared" si="63"/>
        <v>250</v>
      </c>
      <c r="K70" s="67">
        <f t="shared" si="63"/>
        <v>250</v>
      </c>
      <c r="L70" s="705">
        <v>1000</v>
      </c>
      <c r="N70" s="209" t="s">
        <v>3</v>
      </c>
      <c r="P70" s="66"/>
      <c r="Q70" s="195">
        <f>INDEX('Apportionment Bases'!AF$6:AF$33,MATCH($N70,'Apportionment Bases'!$A$6:$A$33,0))</f>
        <v>1</v>
      </c>
      <c r="R70" s="195">
        <f>INDEX('Apportionment Bases'!AG$6:AG$33,MATCH($N70,'Apportionment Bases'!$A$6:$A$33,0))</f>
        <v>0</v>
      </c>
      <c r="S70" s="199"/>
      <c r="T70" s="195">
        <f>INDEX('Apportionment Bases'!AI$6:AI$33,MATCH($N70,'Apportionment Bases'!$A$6:$A$33,0))</f>
        <v>0</v>
      </c>
      <c r="V70" s="66"/>
      <c r="W70" s="72">
        <f t="shared" si="13"/>
        <v>1000</v>
      </c>
      <c r="X70" s="72">
        <f t="shared" si="48"/>
        <v>0</v>
      </c>
      <c r="Y70" s="66"/>
      <c r="Z70" s="72">
        <f t="shared" si="49"/>
        <v>0</v>
      </c>
      <c r="AA70" s="266" t="str">
        <f t="shared" si="50"/>
        <v>TRUE</v>
      </c>
      <c r="AH70" s="301"/>
      <c r="AO70" s="79"/>
      <c r="AP70" s="44">
        <f t="shared" si="51"/>
        <v>0</v>
      </c>
      <c r="AQ70" s="44">
        <f t="shared" si="52"/>
        <v>0</v>
      </c>
      <c r="AR70" s="81"/>
      <c r="AS70" s="72">
        <f t="shared" si="53"/>
        <v>0</v>
      </c>
      <c r="AT70" s="301"/>
      <c r="AU70" s="79"/>
      <c r="AV70" s="72">
        <f t="shared" si="54"/>
        <v>417.75884665792915</v>
      </c>
      <c r="AW70" s="72">
        <f t="shared" si="55"/>
        <v>0</v>
      </c>
      <c r="AX70" s="81"/>
      <c r="AY70" s="72">
        <f t="shared" si="56"/>
        <v>0</v>
      </c>
      <c r="AZ70" s="301"/>
      <c r="BA70" s="79"/>
      <c r="BB70" s="72"/>
      <c r="BC70" s="72"/>
      <c r="BD70" s="81"/>
      <c r="BE70" s="72"/>
      <c r="CE70" s="79"/>
      <c r="CF70" s="72">
        <f t="shared" si="57"/>
        <v>16.382699868938403</v>
      </c>
      <c r="CG70" s="72">
        <f t="shared" si="58"/>
        <v>0</v>
      </c>
      <c r="CH70" s="81"/>
      <c r="CI70" s="72">
        <f t="shared" si="59"/>
        <v>0</v>
      </c>
      <c r="CJ70" s="301"/>
      <c r="CK70" s="79"/>
      <c r="CL70" s="72">
        <f t="shared" si="60"/>
        <v>565.85845347313239</v>
      </c>
      <c r="CM70" s="72">
        <f t="shared" si="61"/>
        <v>0</v>
      </c>
      <c r="CN70" s="81"/>
      <c r="CO70" s="72">
        <f t="shared" si="62"/>
        <v>0</v>
      </c>
      <c r="CP70" s="301"/>
    </row>
    <row r="71" spans="1:94" x14ac:dyDescent="0.25">
      <c r="A71" s="3" t="s">
        <v>243</v>
      </c>
      <c r="B71" s="3" t="s">
        <v>133</v>
      </c>
      <c r="C71" s="3" t="s">
        <v>47</v>
      </c>
      <c r="D71" s="3" t="s">
        <v>48</v>
      </c>
      <c r="E71" s="3" t="s">
        <v>48</v>
      </c>
      <c r="F71" s="3" t="s">
        <v>357</v>
      </c>
      <c r="G71" t="s">
        <v>300</v>
      </c>
      <c r="H71" s="67">
        <f t="shared" si="63"/>
        <v>250</v>
      </c>
      <c r="I71" s="67">
        <f t="shared" si="63"/>
        <v>250</v>
      </c>
      <c r="J71" s="67">
        <f t="shared" si="63"/>
        <v>250</v>
      </c>
      <c r="K71" s="67">
        <f t="shared" si="63"/>
        <v>250</v>
      </c>
      <c r="L71" s="705">
        <v>1000</v>
      </c>
      <c r="N71" s="209" t="s">
        <v>3</v>
      </c>
      <c r="P71" s="66"/>
      <c r="Q71" s="195">
        <f>INDEX('Apportionment Bases'!AF$6:AF$33,MATCH($N71,'Apportionment Bases'!$A$6:$A$33,0))</f>
        <v>1</v>
      </c>
      <c r="R71" s="195">
        <f>INDEX('Apportionment Bases'!AG$6:AG$33,MATCH($N71,'Apportionment Bases'!$A$6:$A$33,0))</f>
        <v>0</v>
      </c>
      <c r="S71" s="199"/>
      <c r="T71" s="195">
        <f>INDEX('Apportionment Bases'!AI$6:AI$33,MATCH($N71,'Apportionment Bases'!$A$6:$A$33,0))</f>
        <v>0</v>
      </c>
      <c r="V71" s="66"/>
      <c r="W71" s="72">
        <f t="shared" si="13"/>
        <v>1000</v>
      </c>
      <c r="X71" s="72">
        <f t="shared" si="48"/>
        <v>0</v>
      </c>
      <c r="Y71" s="66"/>
      <c r="Z71" s="72">
        <f t="shared" si="49"/>
        <v>0</v>
      </c>
      <c r="AA71" s="266" t="str">
        <f t="shared" si="50"/>
        <v>TRUE</v>
      </c>
      <c r="AH71" s="301"/>
      <c r="AO71" s="79"/>
      <c r="AP71" s="44">
        <f t="shared" si="51"/>
        <v>0</v>
      </c>
      <c r="AQ71" s="44">
        <f t="shared" si="52"/>
        <v>0</v>
      </c>
      <c r="AR71" s="81"/>
      <c r="AS71" s="72">
        <f t="shared" si="53"/>
        <v>0</v>
      </c>
      <c r="AT71" s="301"/>
      <c r="AU71" s="79"/>
      <c r="AV71" s="343">
        <f t="shared" si="54"/>
        <v>417.75884665792915</v>
      </c>
      <c r="AW71" s="72">
        <f t="shared" si="55"/>
        <v>0</v>
      </c>
      <c r="AX71" s="81"/>
      <c r="AY71" s="72">
        <f t="shared" si="56"/>
        <v>0</v>
      </c>
      <c r="AZ71" s="301"/>
      <c r="BA71" s="79"/>
      <c r="BB71" s="72"/>
      <c r="BC71" s="72"/>
      <c r="BD71" s="81"/>
      <c r="BE71" s="72"/>
      <c r="CE71" s="79"/>
      <c r="CF71" s="72">
        <f t="shared" si="57"/>
        <v>16.382699868938403</v>
      </c>
      <c r="CG71" s="72">
        <f t="shared" si="58"/>
        <v>0</v>
      </c>
      <c r="CH71" s="81"/>
      <c r="CI71" s="72">
        <f t="shared" si="59"/>
        <v>0</v>
      </c>
      <c r="CJ71" s="301"/>
      <c r="CK71" s="79"/>
      <c r="CL71" s="72">
        <f t="shared" si="60"/>
        <v>565.85845347313239</v>
      </c>
      <c r="CM71" s="72">
        <f t="shared" si="61"/>
        <v>0</v>
      </c>
      <c r="CN71" s="81"/>
      <c r="CO71" s="72">
        <f t="shared" si="62"/>
        <v>0</v>
      </c>
      <c r="CP71" s="301"/>
    </row>
    <row r="72" spans="1:94" x14ac:dyDescent="0.25">
      <c r="A72" s="3" t="s">
        <v>243</v>
      </c>
      <c r="B72" s="3" t="s">
        <v>137</v>
      </c>
      <c r="C72" s="3" t="s">
        <v>47</v>
      </c>
      <c r="D72" s="3" t="s">
        <v>48</v>
      </c>
      <c r="E72" s="3" t="s">
        <v>48</v>
      </c>
      <c r="F72" s="3" t="s">
        <v>358</v>
      </c>
      <c r="G72" t="s">
        <v>138</v>
      </c>
      <c r="H72" s="67">
        <f t="shared" si="63"/>
        <v>42500</v>
      </c>
      <c r="I72" s="67">
        <f t="shared" si="63"/>
        <v>42500</v>
      </c>
      <c r="J72" s="67">
        <f t="shared" si="63"/>
        <v>42500</v>
      </c>
      <c r="K72" s="67">
        <f t="shared" si="63"/>
        <v>42500</v>
      </c>
      <c r="L72" s="705">
        <v>170000</v>
      </c>
      <c r="N72" s="209" t="s">
        <v>3</v>
      </c>
      <c r="P72" s="66"/>
      <c r="Q72" s="195">
        <f>INDEX('Apportionment Bases'!AF$6:AF$33,MATCH($N72,'Apportionment Bases'!$A$6:$A$33,0))</f>
        <v>1</v>
      </c>
      <c r="R72" s="195">
        <f>INDEX('Apportionment Bases'!AG$6:AG$33,MATCH($N72,'Apportionment Bases'!$A$6:$A$33,0))</f>
        <v>0</v>
      </c>
      <c r="S72" s="199"/>
      <c r="T72" s="195">
        <f>INDEX('Apportionment Bases'!AI$6:AI$33,MATCH($N72,'Apportionment Bases'!$A$6:$A$33,0))</f>
        <v>0</v>
      </c>
      <c r="V72" s="66"/>
      <c r="W72" s="72">
        <f t="shared" si="13"/>
        <v>170000</v>
      </c>
      <c r="X72" s="72">
        <f t="shared" si="48"/>
        <v>0</v>
      </c>
      <c r="Y72" s="66"/>
      <c r="Z72" s="72">
        <f t="shared" si="49"/>
        <v>0</v>
      </c>
      <c r="AA72" s="266" t="str">
        <f t="shared" si="50"/>
        <v>TRUE</v>
      </c>
      <c r="AH72" s="301"/>
      <c r="AO72" s="79"/>
      <c r="AP72" s="44">
        <f t="shared" si="51"/>
        <v>0</v>
      </c>
      <c r="AQ72" s="44">
        <f t="shared" si="52"/>
        <v>0</v>
      </c>
      <c r="AR72" s="81"/>
      <c r="AS72" s="72">
        <f t="shared" si="53"/>
        <v>0</v>
      </c>
      <c r="AT72" s="301"/>
      <c r="AU72" s="79"/>
      <c r="AV72" s="72">
        <f t="shared" si="54"/>
        <v>71019.003931847954</v>
      </c>
      <c r="AW72" s="72">
        <f t="shared" si="55"/>
        <v>0</v>
      </c>
      <c r="AX72" s="81"/>
      <c r="AY72" s="72">
        <f t="shared" si="56"/>
        <v>0</v>
      </c>
      <c r="AZ72" s="301"/>
      <c r="BA72" s="79"/>
      <c r="BB72" s="72"/>
      <c r="BC72" s="72"/>
      <c r="BD72" s="81"/>
      <c r="BE72" s="72"/>
      <c r="CE72" s="79"/>
      <c r="CF72" s="72">
        <f t="shared" si="57"/>
        <v>2785.0589777195282</v>
      </c>
      <c r="CG72" s="72">
        <f t="shared" si="58"/>
        <v>0</v>
      </c>
      <c r="CH72" s="81"/>
      <c r="CI72" s="72">
        <f t="shared" si="59"/>
        <v>0</v>
      </c>
      <c r="CJ72" s="301"/>
      <c r="CK72" s="79"/>
      <c r="CL72" s="72">
        <f t="shared" si="60"/>
        <v>96195.937090432504</v>
      </c>
      <c r="CM72" s="72">
        <f t="shared" si="61"/>
        <v>0</v>
      </c>
      <c r="CN72" s="81"/>
      <c r="CO72" s="72">
        <f t="shared" si="62"/>
        <v>0</v>
      </c>
      <c r="CP72" s="301"/>
    </row>
    <row r="73" spans="1:94" x14ac:dyDescent="0.25">
      <c r="A73" s="3" t="s">
        <v>243</v>
      </c>
      <c r="B73" s="3" t="s">
        <v>139</v>
      </c>
      <c r="C73" s="3" t="s">
        <v>47</v>
      </c>
      <c r="D73" s="3" t="s">
        <v>48</v>
      </c>
      <c r="E73" s="3" t="s">
        <v>48</v>
      </c>
      <c r="F73" s="3" t="s">
        <v>359</v>
      </c>
      <c r="G73" t="s">
        <v>140</v>
      </c>
      <c r="H73" s="67">
        <f t="shared" si="63"/>
        <v>5000</v>
      </c>
      <c r="I73" s="67">
        <f t="shared" si="63"/>
        <v>5000</v>
      </c>
      <c r="J73" s="67">
        <f t="shared" si="63"/>
        <v>5000</v>
      </c>
      <c r="K73" s="67">
        <f t="shared" si="63"/>
        <v>5000</v>
      </c>
      <c r="L73" s="705">
        <v>20000</v>
      </c>
      <c r="N73" s="206" t="s">
        <v>705</v>
      </c>
      <c r="P73" s="66"/>
      <c r="Q73" s="195">
        <f>INDEX('Apportionment Bases'!AF$6:AF$33,MATCH($N73,'Apportionment Bases'!$A$6:$A$33,0))</f>
        <v>0</v>
      </c>
      <c r="R73" s="195">
        <f>INDEX('Apportionment Bases'!AG$6:AG$33,MATCH($N73,'Apportionment Bases'!$A$6:$A$33,0))</f>
        <v>0</v>
      </c>
      <c r="S73" s="199"/>
      <c r="T73" s="195">
        <f>INDEX('Apportionment Bases'!AI$6:AI$33,MATCH($N73,'Apportionment Bases'!$A$6:$A$33,0))</f>
        <v>1</v>
      </c>
      <c r="V73" s="66"/>
      <c r="W73" s="72">
        <f t="shared" si="13"/>
        <v>0</v>
      </c>
      <c r="X73" s="72">
        <f t="shared" si="48"/>
        <v>0</v>
      </c>
      <c r="Y73" s="66"/>
      <c r="Z73" s="72">
        <f t="shared" si="49"/>
        <v>20000</v>
      </c>
      <c r="AA73" s="266" t="str">
        <f t="shared" si="50"/>
        <v>TRUE</v>
      </c>
      <c r="AH73" s="301"/>
      <c r="AO73" s="79"/>
      <c r="AP73" s="44">
        <f t="shared" si="51"/>
        <v>0</v>
      </c>
      <c r="AQ73" s="44">
        <f t="shared" si="52"/>
        <v>0</v>
      </c>
      <c r="AR73" s="81"/>
      <c r="AS73" s="72">
        <f t="shared" si="53"/>
        <v>5840</v>
      </c>
      <c r="AT73" s="301"/>
      <c r="AU73" s="79"/>
      <c r="AV73" s="72">
        <f t="shared" si="54"/>
        <v>0</v>
      </c>
      <c r="AW73" s="72">
        <f t="shared" si="55"/>
        <v>0</v>
      </c>
      <c r="AX73" s="81"/>
      <c r="AY73" s="72">
        <f t="shared" si="56"/>
        <v>5980</v>
      </c>
      <c r="AZ73" s="301"/>
      <c r="BA73" s="79"/>
      <c r="BB73" s="72"/>
      <c r="BC73" s="72"/>
      <c r="BD73" s="81"/>
      <c r="BE73" s="72"/>
      <c r="CE73" s="79"/>
      <c r="CF73" s="72">
        <f t="shared" si="57"/>
        <v>0</v>
      </c>
      <c r="CG73" s="72">
        <f t="shared" si="58"/>
        <v>0</v>
      </c>
      <c r="CH73" s="81"/>
      <c r="CI73" s="72">
        <f t="shared" si="59"/>
        <v>600</v>
      </c>
      <c r="CJ73" s="301"/>
      <c r="CK73" s="79"/>
      <c r="CL73" s="72">
        <f t="shared" si="60"/>
        <v>0</v>
      </c>
      <c r="CM73" s="72">
        <f t="shared" si="61"/>
        <v>0</v>
      </c>
      <c r="CN73" s="81"/>
      <c r="CO73" s="72">
        <f t="shared" si="62"/>
        <v>7580</v>
      </c>
      <c r="CP73" s="301"/>
    </row>
    <row r="74" spans="1:94" x14ac:dyDescent="0.25">
      <c r="A74" s="3" t="s">
        <v>243</v>
      </c>
      <c r="B74" s="3" t="s">
        <v>301</v>
      </c>
      <c r="C74" s="3" t="s">
        <v>47</v>
      </c>
      <c r="D74" s="3" t="s">
        <v>48</v>
      </c>
      <c r="E74" s="3" t="s">
        <v>48</v>
      </c>
      <c r="F74" s="3" t="s">
        <v>360</v>
      </c>
      <c r="G74" t="s">
        <v>302</v>
      </c>
      <c r="H74" s="67">
        <f t="shared" si="63"/>
        <v>8750</v>
      </c>
      <c r="I74" s="67">
        <f t="shared" si="63"/>
        <v>8750</v>
      </c>
      <c r="J74" s="67">
        <f t="shared" si="63"/>
        <v>8750</v>
      </c>
      <c r="K74" s="67">
        <f t="shared" si="63"/>
        <v>8750</v>
      </c>
      <c r="L74" s="705">
        <v>35000</v>
      </c>
      <c r="N74" s="209" t="s">
        <v>32</v>
      </c>
      <c r="P74" s="66"/>
      <c r="Q74" s="195">
        <f>INDEX('Apportionment Bases'!AF$6:AF$33,MATCH($N74,'Apportionment Bases'!$A$6:$A$33,0))</f>
        <v>0</v>
      </c>
      <c r="R74" s="195">
        <f>INDEX('Apportionment Bases'!AG$6:AG$33,MATCH($N74,'Apportionment Bases'!$A$6:$A$33,0))</f>
        <v>1</v>
      </c>
      <c r="S74" s="199"/>
      <c r="T74" s="195">
        <f>INDEX('Apportionment Bases'!AI$6:AI$33,MATCH($N74,'Apportionment Bases'!$A$6:$A$33,0))</f>
        <v>0</v>
      </c>
      <c r="V74" s="66"/>
      <c r="W74" s="72">
        <f t="shared" si="13"/>
        <v>0</v>
      </c>
      <c r="X74" s="72">
        <f t="shared" si="48"/>
        <v>35000</v>
      </c>
      <c r="Y74" s="66"/>
      <c r="Z74" s="72">
        <f t="shared" si="49"/>
        <v>0</v>
      </c>
      <c r="AA74" s="266" t="str">
        <f t="shared" si="50"/>
        <v>TRUE</v>
      </c>
      <c r="AH74" s="301"/>
      <c r="AO74" s="79"/>
      <c r="AP74" s="44">
        <f t="shared" si="51"/>
        <v>0</v>
      </c>
      <c r="AQ74" s="44">
        <f t="shared" si="52"/>
        <v>0</v>
      </c>
      <c r="AR74" s="81"/>
      <c r="AS74" s="72">
        <f t="shared" si="53"/>
        <v>0</v>
      </c>
      <c r="AT74" s="301"/>
      <c r="AU74" s="79"/>
      <c r="AV74" s="72">
        <f t="shared" si="54"/>
        <v>0</v>
      </c>
      <c r="AW74" s="72">
        <f t="shared" si="55"/>
        <v>35000</v>
      </c>
      <c r="AX74" s="81"/>
      <c r="AY74" s="72">
        <f t="shared" si="56"/>
        <v>0</v>
      </c>
      <c r="AZ74" s="301"/>
      <c r="BA74" s="79"/>
      <c r="BB74" s="72"/>
      <c r="BC74" s="72"/>
      <c r="BD74" s="81"/>
      <c r="BE74" s="72"/>
      <c r="CE74" s="79"/>
      <c r="CF74" s="72">
        <f t="shared" si="57"/>
        <v>0</v>
      </c>
      <c r="CG74" s="72">
        <f t="shared" si="58"/>
        <v>0</v>
      </c>
      <c r="CH74" s="81"/>
      <c r="CI74" s="72">
        <f t="shared" si="59"/>
        <v>0</v>
      </c>
      <c r="CJ74" s="301"/>
      <c r="CK74" s="79"/>
      <c r="CL74" s="72">
        <f t="shared" si="60"/>
        <v>0</v>
      </c>
      <c r="CM74" s="72">
        <f t="shared" si="61"/>
        <v>0</v>
      </c>
      <c r="CN74" s="81"/>
      <c r="CO74" s="72">
        <f t="shared" si="62"/>
        <v>0</v>
      </c>
      <c r="CP74" s="301"/>
    </row>
    <row r="75" spans="1:94" x14ac:dyDescent="0.25">
      <c r="A75" s="3" t="s">
        <v>243</v>
      </c>
      <c r="B75" s="3" t="s">
        <v>143</v>
      </c>
      <c r="C75" s="3" t="s">
        <v>47</v>
      </c>
      <c r="D75" s="3" t="s">
        <v>48</v>
      </c>
      <c r="E75" s="3" t="s">
        <v>48</v>
      </c>
      <c r="F75" s="3" t="s">
        <v>361</v>
      </c>
      <c r="G75" t="s">
        <v>144</v>
      </c>
      <c r="H75" s="67">
        <f t="shared" si="63"/>
        <v>300</v>
      </c>
      <c r="I75" s="67">
        <f t="shared" si="63"/>
        <v>300</v>
      </c>
      <c r="J75" s="67">
        <f t="shared" si="63"/>
        <v>300</v>
      </c>
      <c r="K75" s="67">
        <f t="shared" si="63"/>
        <v>300</v>
      </c>
      <c r="L75" s="705">
        <v>1200</v>
      </c>
      <c r="N75" s="206" t="s">
        <v>705</v>
      </c>
      <c r="P75" s="66"/>
      <c r="Q75" s="195">
        <f>INDEX('Apportionment Bases'!AF$6:AF$33,MATCH($N75,'Apportionment Bases'!$A$6:$A$33,0))</f>
        <v>0</v>
      </c>
      <c r="R75" s="195">
        <f>INDEX('Apportionment Bases'!AG$6:AG$33,MATCH($N75,'Apportionment Bases'!$A$6:$A$33,0))</f>
        <v>0</v>
      </c>
      <c r="S75" s="199"/>
      <c r="T75" s="195">
        <f>INDEX('Apportionment Bases'!AI$6:AI$33,MATCH($N75,'Apportionment Bases'!$A$6:$A$33,0))</f>
        <v>1</v>
      </c>
      <c r="V75" s="66"/>
      <c r="W75" s="72">
        <f t="shared" si="13"/>
        <v>0</v>
      </c>
      <c r="X75" s="72">
        <f t="shared" si="48"/>
        <v>0</v>
      </c>
      <c r="Y75" s="66"/>
      <c r="Z75" s="72">
        <f t="shared" si="49"/>
        <v>1200</v>
      </c>
      <c r="AA75" s="266" t="str">
        <f t="shared" si="50"/>
        <v>TRUE</v>
      </c>
      <c r="AH75" s="301"/>
      <c r="AO75" s="79"/>
      <c r="AP75" s="44">
        <f t="shared" si="51"/>
        <v>0</v>
      </c>
      <c r="AQ75" s="44">
        <f t="shared" si="52"/>
        <v>0</v>
      </c>
      <c r="AR75" s="81"/>
      <c r="AS75" s="72">
        <f t="shared" si="53"/>
        <v>350.4</v>
      </c>
      <c r="AT75" s="301"/>
      <c r="AU75" s="79"/>
      <c r="AV75" s="72">
        <f t="shared" si="54"/>
        <v>0</v>
      </c>
      <c r="AW75" s="72">
        <f t="shared" si="55"/>
        <v>0</v>
      </c>
      <c r="AX75" s="81"/>
      <c r="AY75" s="72">
        <f t="shared" si="56"/>
        <v>358.8</v>
      </c>
      <c r="AZ75" s="301"/>
      <c r="BA75" s="79"/>
      <c r="BB75" s="72"/>
      <c r="BC75" s="72"/>
      <c r="BD75" s="81"/>
      <c r="BE75" s="72"/>
      <c r="CE75" s="79"/>
      <c r="CF75" s="72">
        <f t="shared" si="57"/>
        <v>0</v>
      </c>
      <c r="CG75" s="72">
        <f t="shared" si="58"/>
        <v>0</v>
      </c>
      <c r="CH75" s="81"/>
      <c r="CI75" s="72">
        <f t="shared" si="59"/>
        <v>36</v>
      </c>
      <c r="CJ75" s="301"/>
      <c r="CK75" s="79"/>
      <c r="CL75" s="72">
        <f t="shared" si="60"/>
        <v>0</v>
      </c>
      <c r="CM75" s="72">
        <f t="shared" si="61"/>
        <v>0</v>
      </c>
      <c r="CN75" s="81"/>
      <c r="CO75" s="72">
        <f t="shared" si="62"/>
        <v>454.8</v>
      </c>
      <c r="CP75" s="301"/>
    </row>
    <row r="76" spans="1:94" x14ac:dyDescent="0.25">
      <c r="A76" s="3" t="s">
        <v>243</v>
      </c>
      <c r="B76" s="3" t="s">
        <v>145</v>
      </c>
      <c r="C76" s="3" t="s">
        <v>47</v>
      </c>
      <c r="D76" s="3" t="s">
        <v>48</v>
      </c>
      <c r="E76" s="3" t="s">
        <v>48</v>
      </c>
      <c r="F76" s="3" t="s">
        <v>362</v>
      </c>
      <c r="G76" t="s">
        <v>146</v>
      </c>
      <c r="H76" s="67">
        <f t="shared" si="63"/>
        <v>0</v>
      </c>
      <c r="I76" s="67">
        <f t="shared" si="63"/>
        <v>0</v>
      </c>
      <c r="J76" s="67">
        <f t="shared" si="63"/>
        <v>0</v>
      </c>
      <c r="K76" s="67">
        <f t="shared" si="63"/>
        <v>0</v>
      </c>
      <c r="L76" s="705">
        <v>0</v>
      </c>
      <c r="N76" s="206" t="s">
        <v>705</v>
      </c>
      <c r="P76" s="66"/>
      <c r="Q76" s="195">
        <f>INDEX('Apportionment Bases'!AF$6:AF$33,MATCH($N76,'Apportionment Bases'!$A$6:$A$33,0))</f>
        <v>0</v>
      </c>
      <c r="R76" s="195">
        <f>INDEX('Apportionment Bases'!AG$6:AG$33,MATCH($N76,'Apportionment Bases'!$A$6:$A$33,0))</f>
        <v>0</v>
      </c>
      <c r="S76" s="199"/>
      <c r="T76" s="195">
        <f>INDEX('Apportionment Bases'!AI$6:AI$33,MATCH($N76,'Apportionment Bases'!$A$6:$A$33,0))</f>
        <v>1</v>
      </c>
      <c r="V76" s="66"/>
      <c r="W76" s="72">
        <f t="shared" si="13"/>
        <v>0</v>
      </c>
      <c r="X76" s="72">
        <f t="shared" si="48"/>
        <v>0</v>
      </c>
      <c r="Y76" s="66"/>
      <c r="Z76" s="72">
        <f t="shared" si="49"/>
        <v>0</v>
      </c>
      <c r="AA76" s="266" t="str">
        <f t="shared" si="50"/>
        <v>TRUE</v>
      </c>
      <c r="AH76" s="301"/>
      <c r="AO76" s="79"/>
      <c r="AP76" s="44">
        <f t="shared" si="51"/>
        <v>0</v>
      </c>
      <c r="AQ76" s="44">
        <f t="shared" si="52"/>
        <v>0</v>
      </c>
      <c r="AR76" s="81"/>
      <c r="AS76" s="72">
        <f t="shared" si="53"/>
        <v>0</v>
      </c>
      <c r="AT76" s="301"/>
      <c r="AU76" s="79"/>
      <c r="AV76" s="72">
        <f t="shared" si="54"/>
        <v>0</v>
      </c>
      <c r="AW76" s="72">
        <f t="shared" si="55"/>
        <v>0</v>
      </c>
      <c r="AX76" s="81"/>
      <c r="AY76" s="72">
        <f t="shared" si="56"/>
        <v>0</v>
      </c>
      <c r="AZ76" s="301"/>
      <c r="BA76" s="79"/>
      <c r="BB76" s="72"/>
      <c r="BC76" s="72"/>
      <c r="BD76" s="81"/>
      <c r="BE76" s="72"/>
      <c r="CE76" s="79"/>
      <c r="CF76" s="72">
        <f t="shared" si="57"/>
        <v>0</v>
      </c>
      <c r="CG76" s="72">
        <f t="shared" si="58"/>
        <v>0</v>
      </c>
      <c r="CH76" s="81"/>
      <c r="CI76" s="72">
        <f t="shared" si="59"/>
        <v>0</v>
      </c>
      <c r="CJ76" s="301"/>
      <c r="CK76" s="79"/>
      <c r="CL76" s="72">
        <f t="shared" si="60"/>
        <v>0</v>
      </c>
      <c r="CM76" s="72">
        <f t="shared" si="61"/>
        <v>0</v>
      </c>
      <c r="CN76" s="81"/>
      <c r="CO76" s="72">
        <f t="shared" si="62"/>
        <v>0</v>
      </c>
      <c r="CP76" s="301"/>
    </row>
    <row r="77" spans="1:94" x14ac:dyDescent="0.25">
      <c r="A77" s="3" t="s">
        <v>243</v>
      </c>
      <c r="B77" s="3" t="s">
        <v>147</v>
      </c>
      <c r="C77" s="3" t="s">
        <v>47</v>
      </c>
      <c r="D77" s="3" t="s">
        <v>48</v>
      </c>
      <c r="E77" s="3" t="s">
        <v>48</v>
      </c>
      <c r="F77" s="3" t="s">
        <v>363</v>
      </c>
      <c r="G77" t="s">
        <v>148</v>
      </c>
      <c r="H77" s="67">
        <f t="shared" si="63"/>
        <v>0</v>
      </c>
      <c r="I77" s="67">
        <f t="shared" si="63"/>
        <v>0</v>
      </c>
      <c r="J77" s="67">
        <f t="shared" si="63"/>
        <v>0</v>
      </c>
      <c r="K77" s="67">
        <f t="shared" si="63"/>
        <v>0</v>
      </c>
      <c r="L77" s="705">
        <v>0</v>
      </c>
      <c r="N77" s="206" t="s">
        <v>705</v>
      </c>
      <c r="P77" s="66"/>
      <c r="Q77" s="195">
        <f>INDEX('Apportionment Bases'!AF$6:AF$33,MATCH($N77,'Apportionment Bases'!$A$6:$A$33,0))</f>
        <v>0</v>
      </c>
      <c r="R77" s="195">
        <f>INDEX('Apportionment Bases'!AG$6:AG$33,MATCH($N77,'Apportionment Bases'!$A$6:$A$33,0))</f>
        <v>0</v>
      </c>
      <c r="S77" s="199"/>
      <c r="T77" s="195">
        <f>INDEX('Apportionment Bases'!AI$6:AI$33,MATCH($N77,'Apportionment Bases'!$A$6:$A$33,0))</f>
        <v>1</v>
      </c>
      <c r="V77" s="66"/>
      <c r="W77" s="72">
        <f t="shared" si="13"/>
        <v>0</v>
      </c>
      <c r="X77" s="72">
        <f t="shared" si="48"/>
        <v>0</v>
      </c>
      <c r="Y77" s="66"/>
      <c r="Z77" s="72">
        <f t="shared" si="49"/>
        <v>0</v>
      </c>
      <c r="AA77" s="266" t="str">
        <f t="shared" si="50"/>
        <v>TRUE</v>
      </c>
      <c r="AH77" s="301"/>
      <c r="AO77" s="79"/>
      <c r="AP77" s="44">
        <f t="shared" si="51"/>
        <v>0</v>
      </c>
      <c r="AQ77" s="44">
        <f t="shared" si="52"/>
        <v>0</v>
      </c>
      <c r="AR77" s="81"/>
      <c r="AS77" s="72">
        <f t="shared" si="53"/>
        <v>0</v>
      </c>
      <c r="AT77" s="301"/>
      <c r="AU77" s="79"/>
      <c r="AV77" s="72">
        <f t="shared" si="54"/>
        <v>0</v>
      </c>
      <c r="AW77" s="72">
        <f t="shared" si="55"/>
        <v>0</v>
      </c>
      <c r="AX77" s="81"/>
      <c r="AY77" s="72">
        <f t="shared" si="56"/>
        <v>0</v>
      </c>
      <c r="AZ77" s="301"/>
      <c r="BA77" s="79"/>
      <c r="BB77" s="72"/>
      <c r="BC77" s="72"/>
      <c r="BD77" s="81"/>
      <c r="BE77" s="72"/>
      <c r="CE77" s="79"/>
      <c r="CF77" s="72">
        <f t="shared" si="57"/>
        <v>0</v>
      </c>
      <c r="CG77" s="72">
        <f t="shared" si="58"/>
        <v>0</v>
      </c>
      <c r="CH77" s="81"/>
      <c r="CI77" s="72">
        <f t="shared" si="59"/>
        <v>0</v>
      </c>
      <c r="CJ77" s="301"/>
      <c r="CK77" s="79"/>
      <c r="CL77" s="72">
        <f t="shared" si="60"/>
        <v>0</v>
      </c>
      <c r="CM77" s="72">
        <f t="shared" si="61"/>
        <v>0</v>
      </c>
      <c r="CN77" s="81"/>
      <c r="CO77" s="72">
        <f t="shared" si="62"/>
        <v>0</v>
      </c>
      <c r="CP77" s="301"/>
    </row>
    <row r="78" spans="1:94" x14ac:dyDescent="0.25">
      <c r="A78" s="3" t="s">
        <v>243</v>
      </c>
      <c r="B78" s="3" t="s">
        <v>151</v>
      </c>
      <c r="C78" s="3" t="s">
        <v>47</v>
      </c>
      <c r="D78" s="3" t="s">
        <v>48</v>
      </c>
      <c r="E78" s="3" t="s">
        <v>48</v>
      </c>
      <c r="F78" t="s">
        <v>364</v>
      </c>
      <c r="G78" t="s">
        <v>27</v>
      </c>
      <c r="H78">
        <f t="shared" si="63"/>
        <v>0</v>
      </c>
      <c r="I78">
        <f t="shared" si="63"/>
        <v>0</v>
      </c>
      <c r="J78">
        <f t="shared" si="63"/>
        <v>0</v>
      </c>
      <c r="K78">
        <f t="shared" si="63"/>
        <v>0</v>
      </c>
      <c r="L78" s="705">
        <v>0</v>
      </c>
      <c r="M78" s="46"/>
      <c r="N78" s="209" t="s">
        <v>479</v>
      </c>
      <c r="P78" s="66"/>
      <c r="Q78" s="195">
        <f>INDEX('Apportionment Bases'!AF$6:AF$33,MATCH($N78,'Apportionment Bases'!$A$6:$A$33,0))</f>
        <v>0.625</v>
      </c>
      <c r="R78" s="195">
        <f>INDEX('Apportionment Bases'!AG$6:AG$33,MATCH($N78,'Apportionment Bases'!$A$6:$A$33,0))</f>
        <v>0.13</v>
      </c>
      <c r="S78" s="199"/>
      <c r="T78" s="195">
        <f>INDEX('Apportionment Bases'!AI$6:AI$33,MATCH($N78,'Apportionment Bases'!$A$6:$A$33,0))</f>
        <v>0.245</v>
      </c>
      <c r="V78" s="66"/>
      <c r="W78" s="72">
        <f t="shared" si="13"/>
        <v>0</v>
      </c>
      <c r="X78" s="72">
        <f t="shared" si="48"/>
        <v>0</v>
      </c>
      <c r="Y78" s="66"/>
      <c r="Z78" s="72">
        <f t="shared" si="49"/>
        <v>0</v>
      </c>
      <c r="AA78" s="266" t="str">
        <f t="shared" si="50"/>
        <v>TRUE</v>
      </c>
      <c r="AH78" s="301"/>
      <c r="AO78" s="79"/>
      <c r="AP78" s="44">
        <f t="shared" si="51"/>
        <v>0</v>
      </c>
      <c r="AQ78" s="44">
        <f t="shared" si="52"/>
        <v>0</v>
      </c>
      <c r="AR78" s="81"/>
      <c r="AS78" s="72">
        <f t="shared" si="53"/>
        <v>0</v>
      </c>
      <c r="AT78" s="301"/>
      <c r="AU78" s="79"/>
      <c r="AV78" s="72">
        <f t="shared" si="54"/>
        <v>0</v>
      </c>
      <c r="AW78" s="72">
        <f t="shared" si="55"/>
        <v>0</v>
      </c>
      <c r="AX78" s="81"/>
      <c r="AY78" s="72">
        <f t="shared" si="56"/>
        <v>0</v>
      </c>
      <c r="AZ78" s="301"/>
      <c r="BA78" s="79"/>
      <c r="BB78" s="72"/>
      <c r="BC78" s="72"/>
      <c r="BD78" s="81"/>
      <c r="BE78" s="72"/>
      <c r="CE78" s="79"/>
      <c r="CF78" s="72">
        <f t="shared" si="57"/>
        <v>0</v>
      </c>
      <c r="CG78" s="72">
        <f t="shared" si="58"/>
        <v>0</v>
      </c>
      <c r="CH78" s="81"/>
      <c r="CI78" s="72">
        <f t="shared" si="59"/>
        <v>0</v>
      </c>
      <c r="CJ78" s="301"/>
      <c r="CK78" s="79"/>
      <c r="CL78" s="72">
        <f t="shared" si="60"/>
        <v>0</v>
      </c>
      <c r="CM78" s="72">
        <f t="shared" si="61"/>
        <v>0</v>
      </c>
      <c r="CN78" s="81"/>
      <c r="CO78" s="72">
        <f t="shared" si="62"/>
        <v>0</v>
      </c>
      <c r="CP78" s="301"/>
    </row>
    <row r="79" spans="1:94" x14ac:dyDescent="0.25">
      <c r="A79" s="3" t="s">
        <v>243</v>
      </c>
      <c r="B79" s="3" t="s">
        <v>152</v>
      </c>
      <c r="C79" s="3" t="s">
        <v>47</v>
      </c>
      <c r="D79" s="3" t="s">
        <v>48</v>
      </c>
      <c r="E79" s="3" t="s">
        <v>48</v>
      </c>
      <c r="F79" s="3" t="s">
        <v>366</v>
      </c>
      <c r="G79" t="s">
        <v>28</v>
      </c>
      <c r="H79" s="67">
        <f t="shared" si="63"/>
        <v>900</v>
      </c>
      <c r="I79" s="67">
        <f t="shared" si="63"/>
        <v>900</v>
      </c>
      <c r="J79" s="67">
        <f t="shared" si="63"/>
        <v>900</v>
      </c>
      <c r="K79" s="67">
        <f t="shared" si="63"/>
        <v>900</v>
      </c>
      <c r="L79" s="705">
        <v>3600</v>
      </c>
      <c r="N79" s="209" t="s">
        <v>479</v>
      </c>
      <c r="P79" s="66"/>
      <c r="Q79" s="195">
        <f>INDEX('Apportionment Bases'!AF$6:AF$33,MATCH($N79,'Apportionment Bases'!$A$6:$A$33,0))</f>
        <v>0.625</v>
      </c>
      <c r="R79" s="195">
        <f>INDEX('Apportionment Bases'!AG$6:AG$33,MATCH($N79,'Apportionment Bases'!$A$6:$A$33,0))</f>
        <v>0.13</v>
      </c>
      <c r="S79" s="199"/>
      <c r="T79" s="195">
        <f>INDEX('Apportionment Bases'!AI$6:AI$33,MATCH($N79,'Apportionment Bases'!$A$6:$A$33,0))</f>
        <v>0.245</v>
      </c>
      <c r="V79" s="66"/>
      <c r="W79" s="72">
        <f t="shared" si="13"/>
        <v>2250</v>
      </c>
      <c r="X79" s="72">
        <f t="shared" si="48"/>
        <v>468</v>
      </c>
      <c r="Y79" s="66"/>
      <c r="Z79" s="72">
        <f t="shared" si="49"/>
        <v>882</v>
      </c>
      <c r="AA79" s="266" t="str">
        <f t="shared" si="50"/>
        <v>TRUE</v>
      </c>
      <c r="AH79" s="301"/>
      <c r="AO79" s="79"/>
      <c r="AP79" s="44">
        <f t="shared" si="51"/>
        <v>0</v>
      </c>
      <c r="AQ79" s="44">
        <f t="shared" si="52"/>
        <v>0</v>
      </c>
      <c r="AR79" s="81"/>
      <c r="AS79" s="72">
        <f t="shared" si="53"/>
        <v>257.54399999999998</v>
      </c>
      <c r="AT79" s="301"/>
      <c r="AU79" s="79"/>
      <c r="AV79" s="72">
        <f t="shared" si="54"/>
        <v>939.95740498034058</v>
      </c>
      <c r="AW79" s="72">
        <f t="shared" si="55"/>
        <v>468</v>
      </c>
      <c r="AX79" s="81"/>
      <c r="AY79" s="72">
        <f t="shared" si="56"/>
        <v>263.71800000000002</v>
      </c>
      <c r="AZ79" s="301"/>
      <c r="BA79" s="79"/>
      <c r="BB79" s="72"/>
      <c r="BC79" s="72"/>
      <c r="BD79" s="81"/>
      <c r="BE79" s="72"/>
      <c r="CE79" s="79"/>
      <c r="CF79" s="72">
        <f t="shared" si="57"/>
        <v>36.861074705111399</v>
      </c>
      <c r="CG79" s="72">
        <f t="shared" si="58"/>
        <v>0</v>
      </c>
      <c r="CH79" s="81"/>
      <c r="CI79" s="72">
        <f t="shared" si="59"/>
        <v>26.459999999999997</v>
      </c>
      <c r="CJ79" s="301"/>
      <c r="CK79" s="79"/>
      <c r="CL79" s="72">
        <f t="shared" si="60"/>
        <v>1273.1815203145477</v>
      </c>
      <c r="CM79" s="72">
        <f t="shared" si="61"/>
        <v>0</v>
      </c>
      <c r="CN79" s="81"/>
      <c r="CO79" s="72">
        <f t="shared" si="62"/>
        <v>334.27800000000002</v>
      </c>
      <c r="CP79" s="301"/>
    </row>
    <row r="80" spans="1:94" x14ac:dyDescent="0.25">
      <c r="A80" s="3" t="s">
        <v>243</v>
      </c>
      <c r="B80" s="3" t="s">
        <v>153</v>
      </c>
      <c r="C80" s="3" t="s">
        <v>47</v>
      </c>
      <c r="D80" s="3" t="s">
        <v>48</v>
      </c>
      <c r="E80" s="3" t="s">
        <v>48</v>
      </c>
      <c r="F80" s="3" t="s">
        <v>367</v>
      </c>
      <c r="G80" t="s">
        <v>29</v>
      </c>
      <c r="H80" s="67">
        <f t="shared" si="63"/>
        <v>741</v>
      </c>
      <c r="I80" s="67">
        <f t="shared" si="63"/>
        <v>741</v>
      </c>
      <c r="J80" s="67">
        <f t="shared" si="63"/>
        <v>741</v>
      </c>
      <c r="K80" s="67">
        <f t="shared" si="63"/>
        <v>741</v>
      </c>
      <c r="L80" s="705">
        <v>2964</v>
      </c>
      <c r="N80" s="209" t="s">
        <v>479</v>
      </c>
      <c r="P80" s="66"/>
      <c r="Q80" s="195">
        <f>INDEX('Apportionment Bases'!AF$6:AF$33,MATCH($N80,'Apportionment Bases'!$A$6:$A$33,0))</f>
        <v>0.625</v>
      </c>
      <c r="R80" s="195">
        <f>INDEX('Apportionment Bases'!AG$6:AG$33,MATCH($N80,'Apportionment Bases'!$A$6:$A$33,0))</f>
        <v>0.13</v>
      </c>
      <c r="S80" s="199"/>
      <c r="T80" s="195">
        <f>INDEX('Apportionment Bases'!AI$6:AI$33,MATCH($N80,'Apportionment Bases'!$A$6:$A$33,0))</f>
        <v>0.245</v>
      </c>
      <c r="V80" s="66"/>
      <c r="W80" s="72">
        <f t="shared" si="13"/>
        <v>1852.5</v>
      </c>
      <c r="X80" s="72">
        <f t="shared" si="48"/>
        <v>385.32</v>
      </c>
      <c r="Y80" s="66"/>
      <c r="Z80" s="72">
        <f t="shared" si="49"/>
        <v>726.18</v>
      </c>
      <c r="AA80" s="266" t="str">
        <f t="shared" si="50"/>
        <v>TRUE</v>
      </c>
      <c r="AH80" s="301"/>
      <c r="AO80" s="79"/>
      <c r="AP80" s="44">
        <f t="shared" si="51"/>
        <v>0</v>
      </c>
      <c r="AQ80" s="44">
        <f t="shared" si="52"/>
        <v>0</v>
      </c>
      <c r="AR80" s="81"/>
      <c r="AS80" s="72">
        <f t="shared" si="53"/>
        <v>212.04455999999996</v>
      </c>
      <c r="AT80" s="301"/>
      <c r="AU80" s="79"/>
      <c r="AV80" s="72">
        <f t="shared" si="54"/>
        <v>773.89826343381378</v>
      </c>
      <c r="AW80" s="72">
        <f t="shared" si="55"/>
        <v>385.32</v>
      </c>
      <c r="AX80" s="81"/>
      <c r="AY80" s="72">
        <f t="shared" si="56"/>
        <v>217.12781999999999</v>
      </c>
      <c r="AZ80" s="301"/>
      <c r="BA80" s="79"/>
      <c r="BB80" s="72"/>
      <c r="BC80" s="72"/>
      <c r="BD80" s="81"/>
      <c r="BE80" s="72"/>
      <c r="CE80" s="79"/>
      <c r="CF80" s="72">
        <f t="shared" si="57"/>
        <v>30.348951507208387</v>
      </c>
      <c r="CG80" s="72">
        <f t="shared" si="58"/>
        <v>0</v>
      </c>
      <c r="CH80" s="81"/>
      <c r="CI80" s="72">
        <f t="shared" si="59"/>
        <v>21.785399999999999</v>
      </c>
      <c r="CJ80" s="301"/>
      <c r="CK80" s="79"/>
      <c r="CL80" s="72">
        <f t="shared" si="60"/>
        <v>1048.2527850589777</v>
      </c>
      <c r="CM80" s="72">
        <f t="shared" si="61"/>
        <v>0</v>
      </c>
      <c r="CN80" s="81"/>
      <c r="CO80" s="72">
        <f t="shared" si="62"/>
        <v>275.22221999999999</v>
      </c>
      <c r="CP80" s="301"/>
    </row>
    <row r="81" spans="1:94" x14ac:dyDescent="0.25">
      <c r="A81" s="3" t="s">
        <v>243</v>
      </c>
      <c r="B81" s="3" t="s">
        <v>156</v>
      </c>
      <c r="C81" s="3" t="s">
        <v>47</v>
      </c>
      <c r="D81" s="3" t="s">
        <v>48</v>
      </c>
      <c r="E81" s="3" t="s">
        <v>48</v>
      </c>
      <c r="F81" s="3" t="s">
        <v>375</v>
      </c>
      <c r="G81" t="s">
        <v>30</v>
      </c>
      <c r="H81" s="67">
        <f t="shared" si="63"/>
        <v>1050</v>
      </c>
      <c r="I81" s="67">
        <f t="shared" si="63"/>
        <v>1050</v>
      </c>
      <c r="J81" s="67">
        <f t="shared" si="63"/>
        <v>1050</v>
      </c>
      <c r="K81" s="67">
        <f t="shared" si="63"/>
        <v>1050</v>
      </c>
      <c r="L81" s="705">
        <v>4200</v>
      </c>
      <c r="N81" s="209" t="s">
        <v>479</v>
      </c>
      <c r="P81" s="66"/>
      <c r="Q81" s="195">
        <f>INDEX('Apportionment Bases'!AF$6:AF$33,MATCH($N81,'Apportionment Bases'!$A$6:$A$33,0))</f>
        <v>0.625</v>
      </c>
      <c r="R81" s="195">
        <f>INDEX('Apportionment Bases'!AG$6:AG$33,MATCH($N81,'Apportionment Bases'!$A$6:$A$33,0))</f>
        <v>0.13</v>
      </c>
      <c r="S81" s="199"/>
      <c r="T81" s="195">
        <f>INDEX('Apportionment Bases'!AI$6:AI$33,MATCH($N81,'Apportionment Bases'!$A$6:$A$33,0))</f>
        <v>0.245</v>
      </c>
      <c r="V81" s="66"/>
      <c r="W81" s="72">
        <f t="shared" ref="W81:W83" si="64">$L81*Q81</f>
        <v>2625</v>
      </c>
      <c r="X81" s="72">
        <f t="shared" si="48"/>
        <v>546</v>
      </c>
      <c r="Y81" s="66"/>
      <c r="Z81" s="72">
        <f t="shared" si="49"/>
        <v>1029</v>
      </c>
      <c r="AA81" s="266" t="str">
        <f t="shared" si="50"/>
        <v>TRUE</v>
      </c>
      <c r="AH81" s="301"/>
      <c r="AO81" s="79"/>
      <c r="AP81" s="44">
        <f t="shared" si="51"/>
        <v>0</v>
      </c>
      <c r="AQ81" s="44">
        <f t="shared" si="52"/>
        <v>0</v>
      </c>
      <c r="AR81" s="81"/>
      <c r="AS81" s="72">
        <f t="shared" si="53"/>
        <v>300.46799999999996</v>
      </c>
      <c r="AT81" s="301"/>
      <c r="AU81" s="79"/>
      <c r="AV81" s="72">
        <f t="shared" si="54"/>
        <v>1096.6169724770641</v>
      </c>
      <c r="AW81" s="72">
        <f t="shared" si="55"/>
        <v>546</v>
      </c>
      <c r="AX81" s="81"/>
      <c r="AY81" s="72">
        <f t="shared" si="56"/>
        <v>307.67099999999999</v>
      </c>
      <c r="AZ81" s="301"/>
      <c r="BA81" s="79"/>
      <c r="BB81" s="72"/>
      <c r="BC81" s="72"/>
      <c r="BD81" s="81"/>
      <c r="BE81" s="72"/>
      <c r="CE81" s="79"/>
      <c r="CF81" s="72">
        <f t="shared" si="57"/>
        <v>43.0045871559633</v>
      </c>
      <c r="CG81" s="72">
        <f t="shared" si="58"/>
        <v>0</v>
      </c>
      <c r="CH81" s="81"/>
      <c r="CI81" s="72">
        <f t="shared" si="59"/>
        <v>30.869999999999997</v>
      </c>
      <c r="CJ81" s="301"/>
      <c r="CK81" s="79"/>
      <c r="CL81" s="72">
        <f t="shared" si="60"/>
        <v>1485.3784403669724</v>
      </c>
      <c r="CM81" s="72">
        <f t="shared" si="61"/>
        <v>0</v>
      </c>
      <c r="CN81" s="81"/>
      <c r="CO81" s="72">
        <f t="shared" si="62"/>
        <v>389.99099999999999</v>
      </c>
      <c r="CP81" s="301"/>
    </row>
    <row r="82" spans="1:94" x14ac:dyDescent="0.25">
      <c r="A82" s="3" t="s">
        <v>243</v>
      </c>
      <c r="B82" s="3" t="s">
        <v>158</v>
      </c>
      <c r="C82" s="3" t="s">
        <v>47</v>
      </c>
      <c r="D82" s="3" t="s">
        <v>48</v>
      </c>
      <c r="E82" s="3" t="s">
        <v>48</v>
      </c>
      <c r="F82" s="3" t="s">
        <v>376</v>
      </c>
      <c r="G82" t="s">
        <v>159</v>
      </c>
      <c r="H82" s="67">
        <f t="shared" si="63"/>
        <v>26204.75</v>
      </c>
      <c r="I82" s="67">
        <f t="shared" si="63"/>
        <v>26204.75</v>
      </c>
      <c r="J82" s="67">
        <f t="shared" si="63"/>
        <v>26204.75</v>
      </c>
      <c r="K82" s="67">
        <f t="shared" si="63"/>
        <v>26204.75</v>
      </c>
      <c r="L82" s="705">
        <v>104819</v>
      </c>
      <c r="N82" s="206" t="s">
        <v>705</v>
      </c>
      <c r="P82" s="66"/>
      <c r="Q82" s="195">
        <f>INDEX('Apportionment Bases'!AF$6:AF$33,MATCH($N82,'Apportionment Bases'!$A$6:$A$33,0))</f>
        <v>0</v>
      </c>
      <c r="R82" s="195">
        <f>INDEX('Apportionment Bases'!AG$6:AG$33,MATCH($N82,'Apportionment Bases'!$A$6:$A$33,0))</f>
        <v>0</v>
      </c>
      <c r="S82" s="199"/>
      <c r="T82" s="195">
        <f>INDEX('Apportionment Bases'!AI$6:AI$33,MATCH($N82,'Apportionment Bases'!$A$6:$A$33,0))</f>
        <v>1</v>
      </c>
      <c r="V82" s="66"/>
      <c r="W82" s="72">
        <f t="shared" si="64"/>
        <v>0</v>
      </c>
      <c r="X82" s="72">
        <f t="shared" si="48"/>
        <v>0</v>
      </c>
      <c r="Y82" s="66"/>
      <c r="Z82" s="72">
        <f t="shared" si="49"/>
        <v>104819</v>
      </c>
      <c r="AA82" s="266" t="str">
        <f t="shared" si="50"/>
        <v>TRUE</v>
      </c>
      <c r="AH82" s="301"/>
      <c r="AO82" s="79"/>
      <c r="AP82" s="44">
        <f t="shared" si="51"/>
        <v>0</v>
      </c>
      <c r="AQ82" s="44">
        <f t="shared" si="52"/>
        <v>0</v>
      </c>
      <c r="AR82" s="81"/>
      <c r="AS82" s="72">
        <f t="shared" si="53"/>
        <v>30607.147999999997</v>
      </c>
      <c r="AT82" s="301"/>
      <c r="AU82" s="79"/>
      <c r="AV82" s="72">
        <f t="shared" si="54"/>
        <v>0</v>
      </c>
      <c r="AW82" s="72">
        <f t="shared" si="55"/>
        <v>0</v>
      </c>
      <c r="AX82" s="81"/>
      <c r="AY82" s="72">
        <f t="shared" si="56"/>
        <v>31340.880999999998</v>
      </c>
      <c r="AZ82" s="301"/>
      <c r="BA82" s="79"/>
      <c r="BB82" s="72"/>
      <c r="BC82" s="72"/>
      <c r="BD82" s="81"/>
      <c r="BE82" s="72"/>
      <c r="CE82" s="79"/>
      <c r="CF82" s="72">
        <f t="shared" si="57"/>
        <v>0</v>
      </c>
      <c r="CG82" s="72">
        <f t="shared" si="58"/>
        <v>0</v>
      </c>
      <c r="CH82" s="81"/>
      <c r="CI82" s="72">
        <f t="shared" si="59"/>
        <v>3144.5699999999997</v>
      </c>
      <c r="CJ82" s="301"/>
      <c r="CK82" s="79"/>
      <c r="CL82" s="72">
        <f t="shared" si="60"/>
        <v>0</v>
      </c>
      <c r="CM82" s="72">
        <f t="shared" si="61"/>
        <v>0</v>
      </c>
      <c r="CN82" s="81"/>
      <c r="CO82" s="72">
        <f t="shared" si="62"/>
        <v>39726.400999999998</v>
      </c>
      <c r="CP82" s="301"/>
    </row>
    <row r="83" spans="1:94" x14ac:dyDescent="0.25">
      <c r="A83" s="3" t="s">
        <v>243</v>
      </c>
      <c r="B83" s="3" t="s">
        <v>158</v>
      </c>
      <c r="C83" s="3" t="s">
        <v>45</v>
      </c>
      <c r="D83" s="3" t="s">
        <v>48</v>
      </c>
      <c r="E83" s="3" t="s">
        <v>48</v>
      </c>
      <c r="F83" s="3" t="s">
        <v>377</v>
      </c>
      <c r="G83" t="s">
        <v>159</v>
      </c>
      <c r="H83" s="67">
        <f t="shared" si="63"/>
        <v>5553.75</v>
      </c>
      <c r="I83" s="67">
        <f t="shared" si="63"/>
        <v>5553.75</v>
      </c>
      <c r="J83" s="67">
        <f t="shared" si="63"/>
        <v>5553.75</v>
      </c>
      <c r="K83" s="67">
        <f t="shared" si="63"/>
        <v>5553.75</v>
      </c>
      <c r="L83" s="705">
        <v>22215</v>
      </c>
      <c r="N83" s="206" t="s">
        <v>705</v>
      </c>
      <c r="P83" s="66"/>
      <c r="Q83" s="195">
        <f>INDEX('Apportionment Bases'!AF$6:AF$33,MATCH($N83,'Apportionment Bases'!$A$6:$A$33,0))</f>
        <v>0</v>
      </c>
      <c r="R83" s="195">
        <f>INDEX('Apportionment Bases'!AG$6:AG$33,MATCH($N83,'Apportionment Bases'!$A$6:$A$33,0))</f>
        <v>0</v>
      </c>
      <c r="S83" s="199"/>
      <c r="T83" s="195">
        <f>INDEX('Apportionment Bases'!AI$6:AI$33,MATCH($N83,'Apportionment Bases'!$A$6:$A$33,0))</f>
        <v>1</v>
      </c>
      <c r="V83" s="66"/>
      <c r="W83" s="72">
        <f t="shared" si="64"/>
        <v>0</v>
      </c>
      <c r="X83" s="72">
        <f t="shared" si="48"/>
        <v>0</v>
      </c>
      <c r="Y83" s="66"/>
      <c r="Z83" s="72">
        <f t="shared" si="49"/>
        <v>22215</v>
      </c>
      <c r="AA83" s="266" t="str">
        <f t="shared" si="50"/>
        <v>TRUE</v>
      </c>
      <c r="AH83" s="301"/>
      <c r="AO83" s="79"/>
      <c r="AP83" s="44">
        <f t="shared" si="51"/>
        <v>0</v>
      </c>
      <c r="AQ83" s="44">
        <f t="shared" si="52"/>
        <v>0</v>
      </c>
      <c r="AR83" s="81"/>
      <c r="AS83" s="72">
        <f t="shared" si="53"/>
        <v>6486.78</v>
      </c>
      <c r="AT83" s="301"/>
      <c r="AU83" s="79"/>
      <c r="AV83" s="72">
        <f t="shared" si="54"/>
        <v>0</v>
      </c>
      <c r="AW83" s="72">
        <f t="shared" si="55"/>
        <v>0</v>
      </c>
      <c r="AX83" s="81"/>
      <c r="AY83" s="72">
        <f t="shared" si="56"/>
        <v>6642.2849999999999</v>
      </c>
      <c r="AZ83" s="301"/>
      <c r="BA83" s="79"/>
      <c r="BB83" s="72"/>
      <c r="BC83" s="72"/>
      <c r="BD83" s="81"/>
      <c r="BE83" s="72"/>
      <c r="CE83" s="79"/>
      <c r="CF83" s="72">
        <f t="shared" si="57"/>
        <v>0</v>
      </c>
      <c r="CG83" s="72">
        <f t="shared" si="58"/>
        <v>0</v>
      </c>
      <c r="CH83" s="81"/>
      <c r="CI83" s="72">
        <f t="shared" si="59"/>
        <v>666.44999999999993</v>
      </c>
      <c r="CJ83" s="301"/>
      <c r="CK83" s="79"/>
      <c r="CL83" s="72">
        <f t="shared" si="60"/>
        <v>0</v>
      </c>
      <c r="CM83" s="72">
        <f t="shared" si="61"/>
        <v>0</v>
      </c>
      <c r="CN83" s="81"/>
      <c r="CO83" s="72">
        <f t="shared" si="62"/>
        <v>8419.4850000000006</v>
      </c>
      <c r="CP83" s="301"/>
    </row>
    <row r="84" spans="1:94" ht="15.75" thickBot="1" x14ac:dyDescent="0.3">
      <c r="A84" s="27"/>
      <c r="B84" s="27"/>
      <c r="C84" s="27"/>
      <c r="D84" s="27"/>
      <c r="E84" s="27"/>
      <c r="F84" s="27"/>
      <c r="G84" s="28" t="s">
        <v>160</v>
      </c>
      <c r="H84" s="28"/>
      <c r="I84" s="28"/>
      <c r="J84" s="28"/>
      <c r="K84" s="28"/>
      <c r="L84" s="34">
        <f>SUM(L23:L83)</f>
        <v>1485122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9">
        <f>SUM(W23:W83)</f>
        <v>762289.5</v>
      </c>
      <c r="X84" s="29">
        <f>SUM(X23:X83)</f>
        <v>147071.32</v>
      </c>
      <c r="Y84" s="28"/>
      <c r="Z84" s="29">
        <f>SUM(Z23:Z83)</f>
        <v>575761.17999999993</v>
      </c>
      <c r="AA84" s="28"/>
      <c r="AB84" s="28"/>
      <c r="AC84" s="28"/>
      <c r="AD84" s="28"/>
      <c r="AE84" s="28"/>
      <c r="AF84" s="28"/>
      <c r="AG84" s="28"/>
      <c r="AH84" s="306"/>
      <c r="AI84" s="28"/>
      <c r="AJ84" s="28"/>
      <c r="AK84" s="28"/>
      <c r="AL84" s="28"/>
      <c r="AM84" s="28"/>
      <c r="AN84" s="28"/>
      <c r="AO84" s="28"/>
      <c r="AP84" s="29">
        <f>SUM(AP23:AP83)</f>
        <v>0</v>
      </c>
      <c r="AQ84" s="29">
        <f>SUM(AQ23:AQ83)</f>
        <v>0</v>
      </c>
      <c r="AR84" s="28"/>
      <c r="AS84" s="29">
        <f>SUM(AS23:AS83)</f>
        <v>168122.26455999998</v>
      </c>
      <c r="AT84" s="306"/>
      <c r="AU84" s="28"/>
      <c r="AV84" s="29">
        <f>SUM(AV23:AV83)</f>
        <v>318453.18233944953</v>
      </c>
      <c r="AW84" s="29">
        <f>SUM(AW23:AW83)</f>
        <v>147071.32</v>
      </c>
      <c r="AX84" s="28"/>
      <c r="AY84" s="29">
        <f>SUM(AY23:AY83)</f>
        <v>172152.59281999996</v>
      </c>
      <c r="AZ84" s="306"/>
      <c r="BA84" s="28"/>
      <c r="BB84" s="29"/>
      <c r="BC84" s="29"/>
      <c r="BD84" s="28"/>
      <c r="BE84" s="29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9">
        <f>SUM(CF23:CF83)</f>
        <v>12488.360091743118</v>
      </c>
      <c r="CG84" s="29">
        <f>SUM(CG23:CG83)</f>
        <v>0</v>
      </c>
      <c r="CH84" s="28"/>
      <c r="CI84" s="29">
        <f>SUM(CI23:CI83)</f>
        <v>17272.8354</v>
      </c>
      <c r="CJ84" s="306"/>
      <c r="CK84" s="28"/>
      <c r="CL84" s="29">
        <f>SUM(CL23:CL83)</f>
        <v>431347.95756880741</v>
      </c>
      <c r="CM84" s="29">
        <f>SUM(CM23:CM83)</f>
        <v>0</v>
      </c>
      <c r="CN84" s="28"/>
      <c r="CO84" s="29">
        <f>SUM(CO23:CO83)</f>
        <v>218213.48721999995</v>
      </c>
      <c r="CP84" s="301"/>
    </row>
    <row r="85" spans="1:94" ht="15.75" thickTop="1" x14ac:dyDescent="0.25">
      <c r="G85" s="266" t="s">
        <v>696</v>
      </c>
      <c r="H85" s="266"/>
      <c r="I85" s="266"/>
      <c r="J85" s="266"/>
      <c r="K85" s="266"/>
      <c r="L85" s="539">
        <v>-2</v>
      </c>
      <c r="AH85" s="301"/>
      <c r="AO85" s="299"/>
      <c r="AP85" s="85"/>
      <c r="AQ85" s="85"/>
      <c r="AR85" s="85"/>
      <c r="AS85" s="85"/>
      <c r="AT85" s="342"/>
      <c r="AU85" s="299"/>
      <c r="AV85" s="85"/>
      <c r="AW85" s="85"/>
      <c r="AX85" s="85"/>
      <c r="AY85" s="85"/>
      <c r="AZ85" s="342"/>
      <c r="BA85" s="85"/>
      <c r="BB85" s="85"/>
      <c r="BC85" s="85"/>
      <c r="BD85" s="85"/>
      <c r="BE85" s="86"/>
      <c r="CE85" s="299"/>
      <c r="CF85" s="85"/>
      <c r="CG85" s="85"/>
      <c r="CH85" s="85"/>
      <c r="CI85" s="85"/>
      <c r="CJ85" s="342"/>
      <c r="CK85" s="299"/>
      <c r="CL85" s="85"/>
      <c r="CM85" s="85"/>
      <c r="CN85" s="85"/>
      <c r="CO85" s="85"/>
      <c r="CP85" s="300"/>
    </row>
    <row r="86" spans="1:94" ht="15.75" thickBot="1" x14ac:dyDescent="0.3">
      <c r="A86" s="27"/>
      <c r="B86" s="27"/>
      <c r="C86" s="27"/>
      <c r="D86" s="27"/>
      <c r="E86" s="27"/>
      <c r="F86" s="27"/>
      <c r="G86" s="28" t="s">
        <v>161</v>
      </c>
      <c r="H86" s="28"/>
      <c r="I86" s="28"/>
      <c r="J86" s="28"/>
      <c r="K86" s="28"/>
      <c r="L86" s="34">
        <f>L84+L20+L85</f>
        <v>3000388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>
        <f>W84+W20</f>
        <v>1673312.7629999998</v>
      </c>
      <c r="X86" s="29">
        <f>X84+X20</f>
        <v>366641.63800000004</v>
      </c>
      <c r="Y86" s="29"/>
      <c r="Z86" s="29">
        <f>Z84+Z20</f>
        <v>960435.59899999993</v>
      </c>
      <c r="AA86" s="29"/>
      <c r="AB86" s="29"/>
      <c r="AC86" s="29"/>
      <c r="AD86" s="29"/>
      <c r="AE86" s="29"/>
      <c r="AF86" s="29"/>
      <c r="AG86" s="29"/>
      <c r="AH86" s="303"/>
      <c r="AI86" s="29">
        <f t="shared" ref="AI86:AN86" si="65">AI84+AI20</f>
        <v>0</v>
      </c>
      <c r="AJ86" s="29">
        <f t="shared" si="65"/>
        <v>0</v>
      </c>
      <c r="AK86" s="29">
        <f t="shared" si="65"/>
        <v>0</v>
      </c>
      <c r="AL86" s="29">
        <f t="shared" si="65"/>
        <v>0</v>
      </c>
      <c r="AM86" s="29">
        <f t="shared" si="65"/>
        <v>0</v>
      </c>
      <c r="AN86" s="29">
        <f t="shared" si="65"/>
        <v>0</v>
      </c>
      <c r="AO86" s="29"/>
      <c r="AP86" s="29">
        <f>AP84+AP20</f>
        <v>0</v>
      </c>
      <c r="AQ86" s="29">
        <f>AQ84+AQ20</f>
        <v>0</v>
      </c>
      <c r="AR86" s="29"/>
      <c r="AS86" s="29">
        <f>AS84+AS20</f>
        <v>280447.19490799995</v>
      </c>
      <c r="AT86" s="303"/>
      <c r="AU86" s="29"/>
      <c r="AV86" s="29">
        <f>AV84+AV20</f>
        <v>699041.20996887283</v>
      </c>
      <c r="AW86" s="29">
        <f>AW84+AW20</f>
        <v>366641.63800000004</v>
      </c>
      <c r="AX86" s="29"/>
      <c r="AY86" s="29">
        <f t="shared" ref="AY86" si="66">AY84+AY20</f>
        <v>287170.24410099996</v>
      </c>
      <c r="AZ86" s="306"/>
      <c r="BA86" s="29"/>
      <c r="BB86" s="29"/>
      <c r="BC86" s="29"/>
      <c r="BD86" s="29"/>
      <c r="BE86" s="29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9"/>
      <c r="CF86" s="29">
        <f>CF84+CF20</f>
        <v>27413.380783093053</v>
      </c>
      <c r="CG86" s="29">
        <f>CG84+CG20</f>
        <v>0</v>
      </c>
      <c r="CH86" s="29"/>
      <c r="CI86" s="29">
        <f>CI84+CI20</f>
        <v>28813.067969999996</v>
      </c>
      <c r="CJ86" s="306"/>
      <c r="CK86" s="29"/>
      <c r="CL86" s="29">
        <f>CL84+CL20</f>
        <v>946858.17224803416</v>
      </c>
      <c r="CM86" s="29">
        <f>CM84+CM20</f>
        <v>0</v>
      </c>
      <c r="CN86" s="29"/>
      <c r="CO86" s="29">
        <f>CO84+CO20</f>
        <v>364005.09202099993</v>
      </c>
      <c r="CP86" s="301"/>
    </row>
    <row r="87" spans="1:94" ht="15.75" thickTop="1" x14ac:dyDescent="0.25">
      <c r="AH87" s="301"/>
      <c r="AP87" s="298">
        <f>AP86/W$86</f>
        <v>0</v>
      </c>
      <c r="AQ87" s="298">
        <f>AQ86/X$86</f>
        <v>0</v>
      </c>
      <c r="AR87" s="298"/>
      <c r="AS87" s="298">
        <f>AS86/Z$86</f>
        <v>0.29199999999999998</v>
      </c>
      <c r="AT87" s="301"/>
      <c r="AV87" s="298">
        <f>AV86/W$86</f>
        <v>0.41775884665792923</v>
      </c>
      <c r="AW87" s="298">
        <f>AW86/X$86</f>
        <v>1</v>
      </c>
      <c r="AX87" s="298"/>
      <c r="AY87" s="298">
        <f>AY86/Z$86</f>
        <v>0.29899999999999999</v>
      </c>
      <c r="AZ87" s="301"/>
      <c r="BB87" s="298"/>
      <c r="BC87" s="298"/>
      <c r="BD87" s="298"/>
      <c r="BE87" s="298"/>
      <c r="CF87" s="298">
        <f>CF86/W$86</f>
        <v>1.6382699868938401E-2</v>
      </c>
      <c r="CG87" s="298">
        <f t="shared" ref="CG87:CI87" si="67">CG86/X$86</f>
        <v>0</v>
      </c>
      <c r="CH87" s="298"/>
      <c r="CI87" s="298">
        <f t="shared" si="67"/>
        <v>0.03</v>
      </c>
      <c r="CJ87" s="301"/>
      <c r="CL87" s="298">
        <f>CL86/W$86</f>
        <v>0.56585845347313246</v>
      </c>
      <c r="CM87" s="298">
        <f t="shared" ref="CM87:CO87" si="68">CM86/X$86</f>
        <v>0</v>
      </c>
      <c r="CN87" s="298"/>
      <c r="CO87" s="298">
        <f t="shared" si="68"/>
        <v>0.37899999999999995</v>
      </c>
      <c r="CP87" s="301"/>
    </row>
    <row r="88" spans="1:94" x14ac:dyDescent="0.25">
      <c r="AH88" s="301"/>
      <c r="AP88" s="54" t="str">
        <f>IF(AP87=AD$7,"TRUE","FALSE")</f>
        <v>TRUE</v>
      </c>
      <c r="AQ88" s="54" t="str">
        <f>IF(AQ87=AE$7,"TRUE","FALSE")</f>
        <v>TRUE</v>
      </c>
      <c r="AR88" s="54"/>
      <c r="AS88" s="54" t="str">
        <f>IF(AS87=AG$7,"TRUE","FALSE")</f>
        <v>TRUE</v>
      </c>
      <c r="AT88" s="301"/>
      <c r="AV88" s="54" t="str">
        <f>IF(AV87=AD$8,"TRUE","FALSE")</f>
        <v>TRUE</v>
      </c>
      <c r="AW88" s="54" t="str">
        <f>IF(AW87=AE$8,"TRUE","FALSE")</f>
        <v>TRUE</v>
      </c>
      <c r="AX88" s="54"/>
      <c r="AY88" s="54" t="str">
        <f>IF(AY87=AG$8,"TRUE","FALSE")</f>
        <v>TRUE</v>
      </c>
      <c r="AZ88" s="301"/>
      <c r="BB88" s="54"/>
      <c r="BC88" s="54"/>
      <c r="BD88" s="54"/>
      <c r="BE88" s="54"/>
      <c r="CF88" s="54" t="str">
        <f>IF(CF87=AD$10,"TRUE","FALSE")</f>
        <v>TRUE</v>
      </c>
      <c r="CG88" s="54" t="str">
        <f>IF(CG87=AE$10,"TRUE","FALSE")</f>
        <v>TRUE</v>
      </c>
      <c r="CH88" s="54"/>
      <c r="CI88" s="54" t="str">
        <f>IF(CI87=AG$10,"TRUE","FALSE")</f>
        <v>TRUE</v>
      </c>
      <c r="CJ88" s="301"/>
      <c r="CL88" s="54" t="str">
        <f>IF(CL87=AD$11,"TRUE","FALSE")</f>
        <v>TRUE</v>
      </c>
      <c r="CM88" s="54" t="str">
        <f>IF(CM87=AE$11,"TRUE","FALSE")</f>
        <v>TRUE</v>
      </c>
      <c r="CN88" s="54"/>
      <c r="CO88" s="54" t="str">
        <f>IF(CO87=AG$11,"TRUE","FALSE")</f>
        <v>TRUE</v>
      </c>
      <c r="CP88" s="301"/>
    </row>
    <row r="89" spans="1:94" ht="6.75" customHeight="1" x14ac:dyDescent="0.25"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301"/>
      <c r="BB89" s="301"/>
      <c r="BC89" s="301"/>
      <c r="BD89" s="301"/>
      <c r="BE89" s="301"/>
      <c r="BF89" s="301"/>
      <c r="BG89" s="301"/>
      <c r="BH89" s="301"/>
      <c r="BI89" s="301"/>
      <c r="BJ89" s="301"/>
      <c r="BK89" s="301"/>
      <c r="BL89" s="301"/>
      <c r="BM89" s="301"/>
      <c r="BN89" s="301"/>
      <c r="BO89" s="301"/>
      <c r="BP89" s="301"/>
      <c r="BQ89" s="301"/>
      <c r="BR89" s="301"/>
      <c r="BS89" s="301"/>
      <c r="BT89" s="301"/>
      <c r="BU89" s="301"/>
      <c r="BV89" s="301"/>
      <c r="BW89" s="301"/>
      <c r="BX89" s="301"/>
      <c r="BY89" s="301"/>
      <c r="BZ89" s="301"/>
      <c r="CA89" s="301"/>
      <c r="CB89" s="301"/>
      <c r="CC89" s="301"/>
      <c r="CD89" s="301"/>
      <c r="CE89" s="301"/>
      <c r="CF89" s="301"/>
      <c r="CG89" s="301"/>
      <c r="CH89" s="301"/>
      <c r="CI89" s="301"/>
      <c r="CJ89" s="301"/>
      <c r="CK89" s="301"/>
      <c r="CL89" s="301"/>
      <c r="CM89" s="301"/>
      <c r="CN89" s="301"/>
      <c r="CO89" s="301"/>
      <c r="CP89" s="301"/>
    </row>
  </sheetData>
  <mergeCells count="17">
    <mergeCell ref="A1:N1"/>
    <mergeCell ref="A2:N2"/>
    <mergeCell ref="A6:G6"/>
    <mergeCell ref="A22:G22"/>
    <mergeCell ref="CK4:CO4"/>
    <mergeCell ref="BG4:BK4"/>
    <mergeCell ref="BM4:BQ4"/>
    <mergeCell ref="BA4:BE4"/>
    <mergeCell ref="BS4:BW4"/>
    <mergeCell ref="BY4:CC4"/>
    <mergeCell ref="CE4:CI4"/>
    <mergeCell ref="AI4:AM4"/>
    <mergeCell ref="AO4:AS4"/>
    <mergeCell ref="AU4:AY4"/>
    <mergeCell ref="P4:T4"/>
    <mergeCell ref="V4:Z4"/>
    <mergeCell ref="AB4:AG4"/>
  </mergeCells>
  <conditionalFormatting sqref="N7:N18">
    <cfRule type="containsText" dxfId="980" priority="244" operator="containsText" text="Insurance">
      <formula>NOT(ISERROR(SEARCH("Insurance",N7)))</formula>
    </cfRule>
    <cfRule type="containsText" dxfId="979" priority="245" operator="containsText" text="Permits">
      <formula>NOT(ISERROR(SEARCH("Permits",N7)))</formula>
    </cfRule>
    <cfRule type="containsText" dxfId="978" priority="246" operator="containsText" text="ETM">
      <formula>NOT(ISERROR(SEARCH("ETM",N7)))</formula>
    </cfRule>
    <cfRule type="containsText" dxfId="977" priority="247" operator="containsText" text="Outfall">
      <formula>NOT(ISERROR(SEARCH("Outfall",N7)))</formula>
    </cfRule>
    <cfRule type="containsText" dxfId="976" priority="248" operator="containsText" text="Petroleum">
      <formula>NOT(ISERROR(SEARCH("Petroleum",N7)))</formula>
    </cfRule>
    <cfRule type="containsText" dxfId="975" priority="249" operator="containsText" text="Laboratory">
      <formula>NOT(ISERROR(SEARCH("Laboratory",N7)))</formula>
    </cfRule>
    <cfRule type="containsText" dxfId="974" priority="250" operator="containsText" text="Odor Control">
      <formula>NOT(ISERROR(SEARCH("Odor Control",N7)))</formula>
    </cfRule>
    <cfRule type="containsText" dxfId="973" priority="251" operator="containsText" text="Ferric">
      <formula>NOT(ISERROR(SEARCH("Ferric",N7)))</formula>
    </cfRule>
    <cfRule type="containsText" dxfId="972" priority="252" operator="containsText" text="Chlorine">
      <formula>NOT(ISERROR(SEARCH("Chlorine",N7)))</formula>
    </cfRule>
    <cfRule type="containsText" dxfId="971" priority="253" operator="containsText" text="Potable">
      <formula>NOT(ISERROR(SEARCH("Potable",N7)))</formula>
    </cfRule>
    <cfRule type="containsText" dxfId="970" priority="254" operator="containsText" text="Natural Gas">
      <formula>NOT(ISERROR(SEARCH("Natural Gas",N7)))</formula>
    </cfRule>
    <cfRule type="containsText" dxfId="969" priority="255" operator="containsText" text="Electricity">
      <formula>NOT(ISERROR(SEARCH("Electricity",N7)))</formula>
    </cfRule>
    <cfRule type="containsText" dxfId="968" priority="256" operator="containsText" text="Single Area">
      <formula>NOT(ISERROR(SEARCH("Single Area",N7)))</formula>
    </cfRule>
    <cfRule type="containsText" dxfId="967" priority="257" operator="containsText" text="Actual Use">
      <formula>NOT(ISERROR(SEARCH("Actual Use",N7)))</formula>
    </cfRule>
    <cfRule type="containsText" dxfId="966" priority="258" operator="containsText" text="Labor -">
      <formula>NOT(ISERROR(SEARCH("Labor -",N7)))</formula>
    </cfRule>
  </conditionalFormatting>
  <conditionalFormatting sqref="N23:N29 N31:N32 N44:N45 N59 N67 N70:N81">
    <cfRule type="containsText" dxfId="965" priority="199" operator="containsText" text="Insurance">
      <formula>NOT(ISERROR(SEARCH("Insurance",N23)))</formula>
    </cfRule>
    <cfRule type="containsText" dxfId="964" priority="200" operator="containsText" text="Region 9">
      <formula>NOT(ISERROR(SEARCH("Region 9",N23)))</formula>
    </cfRule>
    <cfRule type="containsText" dxfId="963" priority="201" operator="containsText" text="ETM">
      <formula>NOT(ISERROR(SEARCH("ETM",N23)))</formula>
    </cfRule>
    <cfRule type="containsText" dxfId="962" priority="202" operator="containsText" text="Outfall">
      <formula>NOT(ISERROR(SEARCH("Outfall",N23)))</formula>
    </cfRule>
    <cfRule type="containsText" dxfId="961" priority="203" operator="containsText" text="Petroleum">
      <formula>NOT(ISERROR(SEARCH("Petroleum",N23)))</formula>
    </cfRule>
    <cfRule type="containsText" dxfId="960" priority="204" operator="containsText" text="Laboratory">
      <formula>NOT(ISERROR(SEARCH("Laboratory",N23)))</formula>
    </cfRule>
    <cfRule type="containsText" dxfId="959" priority="205" operator="containsText" text="Odor Control">
      <formula>NOT(ISERROR(SEARCH("Odor Control",N23)))</formula>
    </cfRule>
    <cfRule type="containsText" dxfId="958" priority="206" operator="containsText" text="Ferric">
      <formula>NOT(ISERROR(SEARCH("Ferric",N23)))</formula>
    </cfRule>
    <cfRule type="containsText" dxfId="957" priority="207" operator="containsText" text="Chlorine">
      <formula>NOT(ISERROR(SEARCH("Chlorine",N23)))</formula>
    </cfRule>
    <cfRule type="containsText" dxfId="956" priority="208" operator="containsText" text="Potable">
      <formula>NOT(ISERROR(SEARCH("Potable",N23)))</formula>
    </cfRule>
    <cfRule type="containsText" dxfId="955" priority="209" operator="containsText" text="Natural Gas">
      <formula>NOT(ISERROR(SEARCH("Natural Gas",N23)))</formula>
    </cfRule>
    <cfRule type="containsText" dxfId="954" priority="210" operator="containsText" text="Electricity">
      <formula>NOT(ISERROR(SEARCH("Electricity",N23)))</formula>
    </cfRule>
    <cfRule type="containsText" dxfId="953" priority="211" operator="containsText" text="Single Area">
      <formula>NOT(ISERROR(SEARCH("Single Area",N23)))</formula>
    </cfRule>
    <cfRule type="containsText" dxfId="952" priority="212" operator="containsText" text="Actual Use">
      <formula>NOT(ISERROR(SEARCH("Actual Use",N23)))</formula>
    </cfRule>
    <cfRule type="containsText" dxfId="951" priority="213" operator="containsText" text="Labor -">
      <formula>NOT(ISERROR(SEARCH("Labor -",N23)))</formula>
    </cfRule>
  </conditionalFormatting>
  <conditionalFormatting sqref="N23:N29 N31:N32 N44:N45 N59 N67 N70:N81">
    <cfRule type="containsText" dxfId="950" priority="198" operator="containsText" text="Polymer Products">
      <formula>NOT(ISERROR(SEARCH("Polymer Products",N23)))</formula>
    </cfRule>
  </conditionalFormatting>
  <conditionalFormatting sqref="N68:N69">
    <cfRule type="containsText" dxfId="949" priority="123" operator="containsText" text="Insurance">
      <formula>NOT(ISERROR(SEARCH("Insurance",N68)))</formula>
    </cfRule>
    <cfRule type="containsText" dxfId="948" priority="124" operator="containsText" text="Permits">
      <formula>NOT(ISERROR(SEARCH("Permits",N68)))</formula>
    </cfRule>
    <cfRule type="containsText" dxfId="947" priority="125" operator="containsText" text="ETM">
      <formula>NOT(ISERROR(SEARCH("ETM",N68)))</formula>
    </cfRule>
    <cfRule type="containsText" dxfId="946" priority="126" operator="containsText" text="Outfall">
      <formula>NOT(ISERROR(SEARCH("Outfall",N68)))</formula>
    </cfRule>
    <cfRule type="containsText" dxfId="945" priority="127" operator="containsText" text="Petroleum">
      <formula>NOT(ISERROR(SEARCH("Petroleum",N68)))</formula>
    </cfRule>
    <cfRule type="containsText" dxfId="944" priority="128" operator="containsText" text="Laboratory">
      <formula>NOT(ISERROR(SEARCH("Laboratory",N68)))</formula>
    </cfRule>
    <cfRule type="containsText" dxfId="943" priority="129" operator="containsText" text="Odor Control">
      <formula>NOT(ISERROR(SEARCH("Odor Control",N68)))</formula>
    </cfRule>
    <cfRule type="containsText" dxfId="942" priority="130" operator="containsText" text="Ferric">
      <formula>NOT(ISERROR(SEARCH("Ferric",N68)))</formula>
    </cfRule>
    <cfRule type="containsText" dxfId="941" priority="131" operator="containsText" text="Chlorine">
      <formula>NOT(ISERROR(SEARCH("Chlorine",N68)))</formula>
    </cfRule>
    <cfRule type="containsText" dxfId="940" priority="132" operator="containsText" text="Potable">
      <formula>NOT(ISERROR(SEARCH("Potable",N68)))</formula>
    </cfRule>
    <cfRule type="containsText" dxfId="939" priority="133" operator="containsText" text="Natural Gas">
      <formula>NOT(ISERROR(SEARCH("Natural Gas",N68)))</formula>
    </cfRule>
    <cfRule type="containsText" dxfId="938" priority="134" operator="containsText" text="Electricity">
      <formula>NOT(ISERROR(SEARCH("Electricity",N68)))</formula>
    </cfRule>
    <cfRule type="containsText" dxfId="937" priority="135" operator="containsText" text="Common">
      <formula>NOT(ISERROR(SEARCH("Common",N68)))</formula>
    </cfRule>
    <cfRule type="containsText" dxfId="936" priority="136" operator="containsText" text="Actual Use">
      <formula>NOT(ISERROR(SEARCH("Actual Use",N68)))</formula>
    </cfRule>
    <cfRule type="containsText" dxfId="935" priority="137" operator="containsText" text="Labor -">
      <formula>NOT(ISERROR(SEARCH("Labor -",N68)))</formula>
    </cfRule>
  </conditionalFormatting>
  <conditionalFormatting sqref="N82:N83">
    <cfRule type="containsText" dxfId="934" priority="108" operator="containsText" text="Insurance">
      <formula>NOT(ISERROR(SEARCH("Insurance",N82)))</formula>
    </cfRule>
    <cfRule type="containsText" dxfId="933" priority="109" operator="containsText" text="Permits">
      <formula>NOT(ISERROR(SEARCH("Permits",N82)))</formula>
    </cfRule>
    <cfRule type="containsText" dxfId="932" priority="110" operator="containsText" text="ETM">
      <formula>NOT(ISERROR(SEARCH("ETM",N82)))</formula>
    </cfRule>
    <cfRule type="containsText" dxfId="931" priority="111" operator="containsText" text="Outfall">
      <formula>NOT(ISERROR(SEARCH("Outfall",N82)))</formula>
    </cfRule>
    <cfRule type="containsText" dxfId="930" priority="112" operator="containsText" text="Petroleum">
      <formula>NOT(ISERROR(SEARCH("Petroleum",N82)))</formula>
    </cfRule>
    <cfRule type="containsText" dxfId="929" priority="113" operator="containsText" text="Laboratory">
      <formula>NOT(ISERROR(SEARCH("Laboratory",N82)))</formula>
    </cfRule>
    <cfRule type="containsText" dxfId="928" priority="114" operator="containsText" text="Odor Control">
      <formula>NOT(ISERROR(SEARCH("Odor Control",N82)))</formula>
    </cfRule>
    <cfRule type="containsText" dxfId="927" priority="115" operator="containsText" text="Ferric">
      <formula>NOT(ISERROR(SEARCH("Ferric",N82)))</formula>
    </cfRule>
    <cfRule type="containsText" dxfId="926" priority="116" operator="containsText" text="Chlorine">
      <formula>NOT(ISERROR(SEARCH("Chlorine",N82)))</formula>
    </cfRule>
    <cfRule type="containsText" dxfId="925" priority="117" operator="containsText" text="Potable">
      <formula>NOT(ISERROR(SEARCH("Potable",N82)))</formula>
    </cfRule>
    <cfRule type="containsText" dxfId="924" priority="118" operator="containsText" text="Natural Gas">
      <formula>NOT(ISERROR(SEARCH("Natural Gas",N82)))</formula>
    </cfRule>
    <cfRule type="containsText" dxfId="923" priority="119" operator="containsText" text="Electricity">
      <formula>NOT(ISERROR(SEARCH("Electricity",N82)))</formula>
    </cfRule>
    <cfRule type="containsText" dxfId="922" priority="120" operator="containsText" text="Common">
      <formula>NOT(ISERROR(SEARCH("Common",N82)))</formula>
    </cfRule>
    <cfRule type="containsText" dxfId="921" priority="121" operator="containsText" text="Actual Use">
      <formula>NOT(ISERROR(SEARCH("Actual Use",N82)))</formula>
    </cfRule>
    <cfRule type="containsText" dxfId="920" priority="122" operator="containsText" text="Labor -">
      <formula>NOT(ISERROR(SEARCH("Labor -",N82)))</formula>
    </cfRule>
  </conditionalFormatting>
  <conditionalFormatting sqref="N60:N66">
    <cfRule type="containsText" dxfId="919" priority="93" operator="containsText" text="Insurance">
      <formula>NOT(ISERROR(SEARCH("Insurance",N60)))</formula>
    </cfRule>
    <cfRule type="containsText" dxfId="918" priority="94" operator="containsText" text="Permits">
      <formula>NOT(ISERROR(SEARCH("Permits",N60)))</formula>
    </cfRule>
    <cfRule type="containsText" dxfId="917" priority="95" operator="containsText" text="ETM">
      <formula>NOT(ISERROR(SEARCH("ETM",N60)))</formula>
    </cfRule>
    <cfRule type="containsText" dxfId="916" priority="96" operator="containsText" text="Outfall">
      <formula>NOT(ISERROR(SEARCH("Outfall",N60)))</formula>
    </cfRule>
    <cfRule type="containsText" dxfId="915" priority="97" operator="containsText" text="Petroleum">
      <formula>NOT(ISERROR(SEARCH("Petroleum",N60)))</formula>
    </cfRule>
    <cfRule type="containsText" dxfId="914" priority="98" operator="containsText" text="Laboratory">
      <formula>NOT(ISERROR(SEARCH("Laboratory",N60)))</formula>
    </cfRule>
    <cfRule type="containsText" dxfId="913" priority="99" operator="containsText" text="Odor Control">
      <formula>NOT(ISERROR(SEARCH("Odor Control",N60)))</formula>
    </cfRule>
    <cfRule type="containsText" dxfId="912" priority="100" operator="containsText" text="Ferric">
      <formula>NOT(ISERROR(SEARCH("Ferric",N60)))</formula>
    </cfRule>
    <cfRule type="containsText" dxfId="911" priority="101" operator="containsText" text="Chlorine">
      <formula>NOT(ISERROR(SEARCH("Chlorine",N60)))</formula>
    </cfRule>
    <cfRule type="containsText" dxfId="910" priority="102" operator="containsText" text="Potable">
      <formula>NOT(ISERROR(SEARCH("Potable",N60)))</formula>
    </cfRule>
    <cfRule type="containsText" dxfId="909" priority="103" operator="containsText" text="Natural Gas">
      <formula>NOT(ISERROR(SEARCH("Natural Gas",N60)))</formula>
    </cfRule>
    <cfRule type="containsText" dxfId="908" priority="104" operator="containsText" text="Electricity">
      <formula>NOT(ISERROR(SEARCH("Electricity",N60)))</formula>
    </cfRule>
    <cfRule type="containsText" dxfId="907" priority="105" operator="containsText" text="Common">
      <formula>NOT(ISERROR(SEARCH("Common",N60)))</formula>
    </cfRule>
    <cfRule type="containsText" dxfId="906" priority="106" operator="containsText" text="Actual Use">
      <formula>NOT(ISERROR(SEARCH("Actual Use",N60)))</formula>
    </cfRule>
    <cfRule type="containsText" dxfId="905" priority="107" operator="containsText" text="Labor -">
      <formula>NOT(ISERROR(SEARCH("Labor -",N60)))</formula>
    </cfRule>
  </conditionalFormatting>
  <conditionalFormatting sqref="N46:N58">
    <cfRule type="containsText" dxfId="904" priority="78" operator="containsText" text="Insurance">
      <formula>NOT(ISERROR(SEARCH("Insurance",N46)))</formula>
    </cfRule>
    <cfRule type="containsText" dxfId="903" priority="79" operator="containsText" text="Permits">
      <formula>NOT(ISERROR(SEARCH("Permits",N46)))</formula>
    </cfRule>
    <cfRule type="containsText" dxfId="902" priority="80" operator="containsText" text="ETM">
      <formula>NOT(ISERROR(SEARCH("ETM",N46)))</formula>
    </cfRule>
    <cfRule type="containsText" dxfId="901" priority="81" operator="containsText" text="Outfall">
      <formula>NOT(ISERROR(SEARCH("Outfall",N46)))</formula>
    </cfRule>
    <cfRule type="containsText" dxfId="900" priority="82" operator="containsText" text="Petroleum">
      <formula>NOT(ISERROR(SEARCH("Petroleum",N46)))</formula>
    </cfRule>
    <cfRule type="containsText" dxfId="899" priority="83" operator="containsText" text="Laboratory">
      <formula>NOT(ISERROR(SEARCH("Laboratory",N46)))</formula>
    </cfRule>
    <cfRule type="containsText" dxfId="898" priority="84" operator="containsText" text="Odor Control">
      <formula>NOT(ISERROR(SEARCH("Odor Control",N46)))</formula>
    </cfRule>
    <cfRule type="containsText" dxfId="897" priority="85" operator="containsText" text="Ferric">
      <formula>NOT(ISERROR(SEARCH("Ferric",N46)))</formula>
    </cfRule>
    <cfRule type="containsText" dxfId="896" priority="86" operator="containsText" text="Chlorine">
      <formula>NOT(ISERROR(SEARCH("Chlorine",N46)))</formula>
    </cfRule>
    <cfRule type="containsText" dxfId="895" priority="87" operator="containsText" text="Potable">
      <formula>NOT(ISERROR(SEARCH("Potable",N46)))</formula>
    </cfRule>
    <cfRule type="containsText" dxfId="894" priority="88" operator="containsText" text="Natural Gas">
      <formula>NOT(ISERROR(SEARCH("Natural Gas",N46)))</formula>
    </cfRule>
    <cfRule type="containsText" dxfId="893" priority="89" operator="containsText" text="Electricity">
      <formula>NOT(ISERROR(SEARCH("Electricity",N46)))</formula>
    </cfRule>
    <cfRule type="containsText" dxfId="892" priority="90" operator="containsText" text="Common">
      <formula>NOT(ISERROR(SEARCH("Common",N46)))</formula>
    </cfRule>
    <cfRule type="containsText" dxfId="891" priority="91" operator="containsText" text="Actual Use">
      <formula>NOT(ISERROR(SEARCH("Actual Use",N46)))</formula>
    </cfRule>
    <cfRule type="containsText" dxfId="890" priority="92" operator="containsText" text="Labor -">
      <formula>NOT(ISERROR(SEARCH("Labor -",N46)))</formula>
    </cfRule>
  </conditionalFormatting>
  <conditionalFormatting sqref="N33:N43">
    <cfRule type="containsText" dxfId="889" priority="63" operator="containsText" text="Insurance">
      <formula>NOT(ISERROR(SEARCH("Insurance",N33)))</formula>
    </cfRule>
    <cfRule type="containsText" dxfId="888" priority="64" operator="containsText" text="Permits">
      <formula>NOT(ISERROR(SEARCH("Permits",N33)))</formula>
    </cfRule>
    <cfRule type="containsText" dxfId="887" priority="65" operator="containsText" text="ETM">
      <formula>NOT(ISERROR(SEARCH("ETM",N33)))</formula>
    </cfRule>
    <cfRule type="containsText" dxfId="886" priority="66" operator="containsText" text="Outfall">
      <formula>NOT(ISERROR(SEARCH("Outfall",N33)))</formula>
    </cfRule>
    <cfRule type="containsText" dxfId="885" priority="67" operator="containsText" text="Petroleum">
      <formula>NOT(ISERROR(SEARCH("Petroleum",N33)))</formula>
    </cfRule>
    <cfRule type="containsText" dxfId="884" priority="68" operator="containsText" text="Laboratory">
      <formula>NOT(ISERROR(SEARCH("Laboratory",N33)))</formula>
    </cfRule>
    <cfRule type="containsText" dxfId="883" priority="69" operator="containsText" text="Odor Control">
      <formula>NOT(ISERROR(SEARCH("Odor Control",N33)))</formula>
    </cfRule>
    <cfRule type="containsText" dxfId="882" priority="70" operator="containsText" text="Ferric">
      <formula>NOT(ISERROR(SEARCH("Ferric",N33)))</formula>
    </cfRule>
    <cfRule type="containsText" dxfId="881" priority="71" operator="containsText" text="Chlorine">
      <formula>NOT(ISERROR(SEARCH("Chlorine",N33)))</formula>
    </cfRule>
    <cfRule type="containsText" dxfId="880" priority="72" operator="containsText" text="Potable">
      <formula>NOT(ISERROR(SEARCH("Potable",N33)))</formula>
    </cfRule>
    <cfRule type="containsText" dxfId="879" priority="73" operator="containsText" text="Natural Gas">
      <formula>NOT(ISERROR(SEARCH("Natural Gas",N33)))</formula>
    </cfRule>
    <cfRule type="containsText" dxfId="878" priority="74" operator="containsText" text="Electricity">
      <formula>NOT(ISERROR(SEARCH("Electricity",N33)))</formula>
    </cfRule>
    <cfRule type="containsText" dxfId="877" priority="75" operator="containsText" text="Common">
      <formula>NOT(ISERROR(SEARCH("Common",N33)))</formula>
    </cfRule>
    <cfRule type="containsText" dxfId="876" priority="76" operator="containsText" text="Actual Use">
      <formula>NOT(ISERROR(SEARCH("Actual Use",N33)))</formula>
    </cfRule>
    <cfRule type="containsText" dxfId="875" priority="77" operator="containsText" text="Labor -">
      <formula>NOT(ISERROR(SEARCH("Labor -",N33)))</formula>
    </cfRule>
  </conditionalFormatting>
  <conditionalFormatting sqref="N30">
    <cfRule type="containsText" dxfId="874" priority="48" operator="containsText" text="Insurance">
      <formula>NOT(ISERROR(SEARCH("Insurance",N30)))</formula>
    </cfRule>
    <cfRule type="containsText" dxfId="873" priority="49" operator="containsText" text="Permits">
      <formula>NOT(ISERROR(SEARCH("Permits",N30)))</formula>
    </cfRule>
    <cfRule type="containsText" dxfId="872" priority="50" operator="containsText" text="ETM">
      <formula>NOT(ISERROR(SEARCH("ETM",N30)))</formula>
    </cfRule>
    <cfRule type="containsText" dxfId="871" priority="51" operator="containsText" text="Outfall">
      <formula>NOT(ISERROR(SEARCH("Outfall",N30)))</formula>
    </cfRule>
    <cfRule type="containsText" dxfId="870" priority="52" operator="containsText" text="Petroleum">
      <formula>NOT(ISERROR(SEARCH("Petroleum",N30)))</formula>
    </cfRule>
    <cfRule type="containsText" dxfId="869" priority="53" operator="containsText" text="Laboratory">
      <formula>NOT(ISERROR(SEARCH("Laboratory",N30)))</formula>
    </cfRule>
    <cfRule type="containsText" dxfId="868" priority="54" operator="containsText" text="Odor Control">
      <formula>NOT(ISERROR(SEARCH("Odor Control",N30)))</formula>
    </cfRule>
    <cfRule type="containsText" dxfId="867" priority="55" operator="containsText" text="Ferric">
      <formula>NOT(ISERROR(SEARCH("Ferric",N30)))</formula>
    </cfRule>
    <cfRule type="containsText" dxfId="866" priority="56" operator="containsText" text="Chlorine">
      <formula>NOT(ISERROR(SEARCH("Chlorine",N30)))</formula>
    </cfRule>
    <cfRule type="containsText" dxfId="865" priority="57" operator="containsText" text="Potable">
      <formula>NOT(ISERROR(SEARCH("Potable",N30)))</formula>
    </cfRule>
    <cfRule type="containsText" dxfId="864" priority="58" operator="containsText" text="Natural Gas">
      <formula>NOT(ISERROR(SEARCH("Natural Gas",N30)))</formula>
    </cfRule>
    <cfRule type="containsText" dxfId="863" priority="59" operator="containsText" text="Electricity">
      <formula>NOT(ISERROR(SEARCH("Electricity",N30)))</formula>
    </cfRule>
    <cfRule type="containsText" dxfId="862" priority="60" operator="containsText" text="Common">
      <formula>NOT(ISERROR(SEARCH("Common",N30)))</formula>
    </cfRule>
    <cfRule type="containsText" dxfId="861" priority="61" operator="containsText" text="Actual Use">
      <formula>NOT(ISERROR(SEARCH("Actual Use",N30)))</formula>
    </cfRule>
    <cfRule type="containsText" dxfId="860" priority="62" operator="containsText" text="Labor -">
      <formula>NOT(ISERROR(SEARCH("Labor -",N30)))</formula>
    </cfRule>
  </conditionalFormatting>
  <conditionalFormatting sqref="N19">
    <cfRule type="containsText" dxfId="859" priority="33" operator="containsText" text="Insurance">
      <formula>NOT(ISERROR(SEARCH("Insurance",N19)))</formula>
    </cfRule>
    <cfRule type="containsText" dxfId="858" priority="34" operator="containsText" text="Permits">
      <formula>NOT(ISERROR(SEARCH("Permits",N19)))</formula>
    </cfRule>
    <cfRule type="containsText" dxfId="857" priority="35" operator="containsText" text="ETM">
      <formula>NOT(ISERROR(SEARCH("ETM",N19)))</formula>
    </cfRule>
    <cfRule type="containsText" dxfId="856" priority="36" operator="containsText" text="Outfall">
      <formula>NOT(ISERROR(SEARCH("Outfall",N19)))</formula>
    </cfRule>
    <cfRule type="containsText" dxfId="855" priority="37" operator="containsText" text="Petroleum">
      <formula>NOT(ISERROR(SEARCH("Petroleum",N19)))</formula>
    </cfRule>
    <cfRule type="containsText" dxfId="854" priority="38" operator="containsText" text="Laboratory">
      <formula>NOT(ISERROR(SEARCH("Laboratory",N19)))</formula>
    </cfRule>
    <cfRule type="containsText" dxfId="853" priority="39" operator="containsText" text="Odor Control">
      <formula>NOT(ISERROR(SEARCH("Odor Control",N19)))</formula>
    </cfRule>
    <cfRule type="containsText" dxfId="852" priority="40" operator="containsText" text="Ferric">
      <formula>NOT(ISERROR(SEARCH("Ferric",N19)))</formula>
    </cfRule>
    <cfRule type="containsText" dxfId="851" priority="41" operator="containsText" text="Chlorine">
      <formula>NOT(ISERROR(SEARCH("Chlorine",N19)))</formula>
    </cfRule>
    <cfRule type="containsText" dxfId="850" priority="42" operator="containsText" text="Potable">
      <formula>NOT(ISERROR(SEARCH("Potable",N19)))</formula>
    </cfRule>
    <cfRule type="containsText" dxfId="849" priority="43" operator="containsText" text="Natural Gas">
      <formula>NOT(ISERROR(SEARCH("Natural Gas",N19)))</formula>
    </cfRule>
    <cfRule type="containsText" dxfId="848" priority="44" operator="containsText" text="Electricity">
      <formula>NOT(ISERROR(SEARCH("Electricity",N19)))</formula>
    </cfRule>
    <cfRule type="containsText" dxfId="847" priority="45" operator="containsText" text="Common">
      <formula>NOT(ISERROR(SEARCH("Common",N19)))</formula>
    </cfRule>
    <cfRule type="containsText" dxfId="846" priority="46" operator="containsText" text="Actual Use">
      <formula>NOT(ISERROR(SEARCH("Actual Use",N19)))</formula>
    </cfRule>
    <cfRule type="containsText" dxfId="845" priority="47" operator="containsText" text="Labor -">
      <formula>NOT(ISERROR(SEARCH("Labor -",N19)))</formula>
    </cfRule>
  </conditionalFormatting>
  <conditionalFormatting sqref="N7:N83">
    <cfRule type="containsText" dxfId="844" priority="31" operator="containsText" text="AWT">
      <formula>NOT(ISERROR(SEARCH("AWT",N7)))</formula>
    </cfRule>
    <cfRule type="containsText" dxfId="843" priority="32" operator="containsText" text="Liquids">
      <formula>NOT(ISERROR(SEARCH("Liquids",N7)))</formula>
    </cfRule>
  </conditionalFormatting>
  <conditionalFormatting sqref="N73">
    <cfRule type="containsText" dxfId="842" priority="16" operator="containsText" text="Insurance">
      <formula>NOT(ISERROR(SEARCH("Insurance",N73)))</formula>
    </cfRule>
    <cfRule type="containsText" dxfId="841" priority="17" operator="containsText" text="Permits">
      <formula>NOT(ISERROR(SEARCH("Permits",N73)))</formula>
    </cfRule>
    <cfRule type="containsText" dxfId="840" priority="18" operator="containsText" text="ETM">
      <formula>NOT(ISERROR(SEARCH("ETM",N73)))</formula>
    </cfRule>
    <cfRule type="containsText" dxfId="839" priority="19" operator="containsText" text="Outfall">
      <formula>NOT(ISERROR(SEARCH("Outfall",N73)))</formula>
    </cfRule>
    <cfRule type="containsText" dxfId="838" priority="20" operator="containsText" text="Petroleum">
      <formula>NOT(ISERROR(SEARCH("Petroleum",N73)))</formula>
    </cfRule>
    <cfRule type="containsText" dxfId="837" priority="21" operator="containsText" text="Laboratory">
      <formula>NOT(ISERROR(SEARCH("Laboratory",N73)))</formula>
    </cfRule>
    <cfRule type="containsText" dxfId="836" priority="22" operator="containsText" text="Odor Control">
      <formula>NOT(ISERROR(SEARCH("Odor Control",N73)))</formula>
    </cfRule>
    <cfRule type="containsText" dxfId="835" priority="23" operator="containsText" text="Ferric">
      <formula>NOT(ISERROR(SEARCH("Ferric",N73)))</formula>
    </cfRule>
    <cfRule type="containsText" dxfId="834" priority="24" operator="containsText" text="Chlorine">
      <formula>NOT(ISERROR(SEARCH("Chlorine",N73)))</formula>
    </cfRule>
    <cfRule type="containsText" dxfId="833" priority="25" operator="containsText" text="Potable">
      <formula>NOT(ISERROR(SEARCH("Potable",N73)))</formula>
    </cfRule>
    <cfRule type="containsText" dxfId="832" priority="26" operator="containsText" text="Natural Gas">
      <formula>NOT(ISERROR(SEARCH("Natural Gas",N73)))</formula>
    </cfRule>
    <cfRule type="containsText" dxfId="831" priority="27" operator="containsText" text="Electricity">
      <formula>NOT(ISERROR(SEARCH("Electricity",N73)))</formula>
    </cfRule>
    <cfRule type="containsText" dxfId="830" priority="28" operator="containsText" text="Common">
      <formula>NOT(ISERROR(SEARCH("Common",N73)))</formula>
    </cfRule>
    <cfRule type="containsText" dxfId="829" priority="29" operator="containsText" text="Actual Use">
      <formula>NOT(ISERROR(SEARCH("Actual Use",N73)))</formula>
    </cfRule>
    <cfRule type="containsText" dxfId="828" priority="30" operator="containsText" text="Labor -">
      <formula>NOT(ISERROR(SEARCH("Labor -",N73)))</formula>
    </cfRule>
  </conditionalFormatting>
  <conditionalFormatting sqref="N75:N77">
    <cfRule type="containsText" dxfId="827" priority="1" operator="containsText" text="Insurance">
      <formula>NOT(ISERROR(SEARCH("Insurance",N75)))</formula>
    </cfRule>
    <cfRule type="containsText" dxfId="826" priority="2" operator="containsText" text="Permits">
      <formula>NOT(ISERROR(SEARCH("Permits",N75)))</formula>
    </cfRule>
    <cfRule type="containsText" dxfId="825" priority="3" operator="containsText" text="ETM">
      <formula>NOT(ISERROR(SEARCH("ETM",N75)))</formula>
    </cfRule>
    <cfRule type="containsText" dxfId="824" priority="4" operator="containsText" text="Outfall">
      <formula>NOT(ISERROR(SEARCH("Outfall",N75)))</formula>
    </cfRule>
    <cfRule type="containsText" dxfId="823" priority="5" operator="containsText" text="Petroleum">
      <formula>NOT(ISERROR(SEARCH("Petroleum",N75)))</formula>
    </cfRule>
    <cfRule type="containsText" dxfId="822" priority="6" operator="containsText" text="Laboratory">
      <formula>NOT(ISERROR(SEARCH("Laboratory",N75)))</formula>
    </cfRule>
    <cfRule type="containsText" dxfId="821" priority="7" operator="containsText" text="Odor Control">
      <formula>NOT(ISERROR(SEARCH("Odor Control",N75)))</formula>
    </cfRule>
    <cfRule type="containsText" dxfId="820" priority="8" operator="containsText" text="Ferric">
      <formula>NOT(ISERROR(SEARCH("Ferric",N75)))</formula>
    </cfRule>
    <cfRule type="containsText" dxfId="819" priority="9" operator="containsText" text="Chlorine">
      <formula>NOT(ISERROR(SEARCH("Chlorine",N75)))</formula>
    </cfRule>
    <cfRule type="containsText" dxfId="818" priority="10" operator="containsText" text="Potable">
      <formula>NOT(ISERROR(SEARCH("Potable",N75)))</formula>
    </cfRule>
    <cfRule type="containsText" dxfId="817" priority="11" operator="containsText" text="Natural Gas">
      <formula>NOT(ISERROR(SEARCH("Natural Gas",N75)))</formula>
    </cfRule>
    <cfRule type="containsText" dxfId="816" priority="12" operator="containsText" text="Electricity">
      <formula>NOT(ISERROR(SEARCH("Electricity",N75)))</formula>
    </cfRule>
    <cfRule type="containsText" dxfId="815" priority="13" operator="containsText" text="Common">
      <formula>NOT(ISERROR(SEARCH("Common",N75)))</formula>
    </cfRule>
    <cfRule type="containsText" dxfId="814" priority="14" operator="containsText" text="Actual Use">
      <formula>NOT(ISERROR(SEARCH("Actual Use",N75)))</formula>
    </cfRule>
    <cfRule type="containsText" dxfId="813" priority="15" operator="containsText" text="Labor -">
      <formula>NOT(ISERROR(SEARCH("Labor -",N75)))</formula>
    </cfRule>
  </conditionalFormatting>
  <pageMargins left="0.7" right="0.7" top="0.75" bottom="0.75" header="0.3" footer="0.3"/>
  <pageSetup orientation="portrait" horizontalDpi="90" verticalDpi="9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600-000000000000}">
          <x14:formula1>
            <xm:f>'Apportionment Bases'!$A$6:$A$33</xm:f>
          </x14:formula1>
          <xm:sqref>N7:N83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CP108"/>
  <sheetViews>
    <sheetView showGridLines="0" topLeftCell="A73" zoomScale="90" zoomScaleNormal="90" workbookViewId="0">
      <pane xSplit="14" topLeftCell="O1" activePane="topRight" state="frozen"/>
      <selection activeCell="B37" sqref="B37:L37"/>
      <selection pane="topRight" activeCell="G7" sqref="G7"/>
    </sheetView>
  </sheetViews>
  <sheetFormatPr defaultRowHeight="15" outlineLevelCol="1" x14ac:dyDescent="0.25"/>
  <cols>
    <col min="1" max="1" width="3.28515625" style="3" bestFit="1" customWidth="1"/>
    <col min="2" max="2" width="13.28515625" style="3" bestFit="1" customWidth="1"/>
    <col min="3" max="3" width="5.28515625" style="3" hidden="1" customWidth="1" outlineLevel="1"/>
    <col min="4" max="4" width="5" style="3" hidden="1" customWidth="1" outlineLevel="1"/>
    <col min="5" max="5" width="4.140625" style="3" hidden="1" customWidth="1" outlineLevel="1"/>
    <col min="6" max="6" width="16" style="3" hidden="1" customWidth="1" outlineLevel="1"/>
    <col min="7" max="7" width="48.5703125" bestFit="1" customWidth="1" collapsed="1"/>
    <col min="8" max="8" width="10" style="61" hidden="1" customWidth="1" outlineLevel="1"/>
    <col min="9" max="11" width="10" hidden="1" customWidth="1" outlineLevel="1"/>
    <col min="12" max="12" width="12.28515625" customWidth="1" collapsed="1"/>
    <col min="13" max="13" width="2.140625" customWidth="1"/>
    <col min="14" max="14" width="27" bestFit="1" customWidth="1"/>
    <col min="15" max="15" width="2.140625" customWidth="1"/>
    <col min="16" max="16" width="7.140625" bestFit="1" customWidth="1"/>
    <col min="17" max="17" width="8.140625" bestFit="1" customWidth="1"/>
    <col min="18" max="18" width="7" bestFit="1" customWidth="1"/>
    <col min="19" max="19" width="8.85546875" bestFit="1" customWidth="1"/>
    <col min="20" max="20" width="9.85546875" bestFit="1" customWidth="1"/>
    <col min="21" max="21" width="1.42578125" customWidth="1"/>
    <col min="22" max="23" width="12.28515625" bestFit="1" customWidth="1"/>
    <col min="24" max="26" width="10.7109375" bestFit="1" customWidth="1"/>
    <col min="27" max="27" width="6.85546875" style="266" customWidth="1"/>
    <col min="28" max="28" width="7.5703125" bestFit="1" customWidth="1"/>
    <col min="29" max="30" width="7" bestFit="1" customWidth="1"/>
    <col min="31" max="31" width="8.140625" bestFit="1" customWidth="1"/>
    <col min="32" max="32" width="7.7109375" bestFit="1" customWidth="1"/>
    <col min="33" max="33" width="8.85546875" bestFit="1" customWidth="1"/>
    <col min="34" max="34" width="1.7109375" customWidth="1"/>
    <col min="35" max="39" width="0" hidden="1" customWidth="1"/>
    <col min="40" max="40" width="3.7109375" hidden="1" customWidth="1"/>
    <col min="41" max="42" width="12.28515625" bestFit="1" customWidth="1"/>
    <col min="43" max="45" width="10.7109375" bestFit="1" customWidth="1"/>
    <col min="46" max="46" width="1.7109375" customWidth="1"/>
    <col min="47" max="47" width="12.5703125" bestFit="1" customWidth="1"/>
    <col min="48" max="48" width="8.5703125" bestFit="1" customWidth="1"/>
    <col min="49" max="49" width="7.28515625" bestFit="1" customWidth="1"/>
    <col min="50" max="50" width="9.5703125" bestFit="1" customWidth="1"/>
    <col min="51" max="51" width="9.7109375" bestFit="1" customWidth="1"/>
    <col min="52" max="52" width="1.7109375" customWidth="1"/>
    <col min="53" max="57" width="0" hidden="1" customWidth="1"/>
    <col min="58" max="58" width="3.85546875" hidden="1" customWidth="1"/>
    <col min="59" max="59" width="10.7109375" bestFit="1" customWidth="1"/>
    <col min="60" max="60" width="8.5703125" bestFit="1" customWidth="1"/>
    <col min="61" max="61" width="7.28515625" bestFit="1" customWidth="1"/>
    <col min="62" max="62" width="10.7109375" bestFit="1" customWidth="1"/>
    <col min="63" max="63" width="9.7109375" bestFit="1" customWidth="1"/>
    <col min="64" max="64" width="1.7109375" customWidth="1"/>
    <col min="65" max="69" width="0" hidden="1" customWidth="1"/>
    <col min="70" max="70" width="2.42578125" hidden="1" customWidth="1"/>
    <col min="71" max="75" width="0" hidden="1" customWidth="1"/>
    <col min="76" max="76" width="2.42578125" hidden="1" customWidth="1"/>
    <col min="77" max="81" width="0" hidden="1" customWidth="1"/>
    <col min="82" max="82" width="2.42578125" hidden="1" customWidth="1"/>
    <col min="83" max="83" width="9.5703125" bestFit="1" customWidth="1"/>
    <col min="84" max="84" width="7.85546875" bestFit="1" customWidth="1"/>
    <col min="85" max="85" width="7.28515625" bestFit="1" customWidth="1"/>
    <col min="86" max="86" width="8.7109375" bestFit="1" customWidth="1"/>
    <col min="87" max="87" width="9.7109375" bestFit="1" customWidth="1"/>
    <col min="88" max="88" width="1.7109375" customWidth="1"/>
    <col min="89" max="89" width="10.7109375" bestFit="1" customWidth="1"/>
    <col min="90" max="90" width="8.5703125" bestFit="1" customWidth="1"/>
    <col min="91" max="91" width="6.85546875" bestFit="1" customWidth="1"/>
    <col min="92" max="92" width="9.5703125" bestFit="1" customWidth="1"/>
    <col min="93" max="93" width="9.7109375" bestFit="1" customWidth="1"/>
    <col min="94" max="94" width="1.7109375" customWidth="1"/>
  </cols>
  <sheetData>
    <row r="1" spans="1:94" ht="23.25" x14ac:dyDescent="0.25">
      <c r="A1" s="752" t="s">
        <v>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94" ht="23.25" x14ac:dyDescent="0.25">
      <c r="A2" s="752" t="s">
        <v>557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</row>
    <row r="3" spans="1:94" ht="9" customHeight="1" x14ac:dyDescent="0.25">
      <c r="A3" s="158"/>
      <c r="B3" s="158"/>
      <c r="C3" s="158"/>
      <c r="D3" s="158"/>
      <c r="E3" s="158"/>
      <c r="F3" s="158"/>
      <c r="G3" s="158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</row>
    <row r="4" spans="1:94" ht="20.25" thickBot="1" x14ac:dyDescent="0.3">
      <c r="N4" s="2"/>
      <c r="P4" s="759" t="s">
        <v>2</v>
      </c>
      <c r="Q4" s="759"/>
      <c r="R4" s="759"/>
      <c r="S4" s="759"/>
      <c r="T4" s="759"/>
      <c r="V4" s="759" t="s">
        <v>184</v>
      </c>
      <c r="W4" s="759"/>
      <c r="X4" s="759"/>
      <c r="Y4" s="759"/>
      <c r="Z4" s="759"/>
      <c r="AA4" s="48"/>
      <c r="AB4" s="759" t="s">
        <v>248</v>
      </c>
      <c r="AC4" s="759"/>
      <c r="AD4" s="759"/>
      <c r="AE4" s="759"/>
      <c r="AF4" s="759"/>
      <c r="AG4" s="759"/>
      <c r="AH4" s="300"/>
      <c r="AI4" s="759" t="s">
        <v>162</v>
      </c>
      <c r="AJ4" s="759"/>
      <c r="AK4" s="759"/>
      <c r="AL4" s="759"/>
      <c r="AM4" s="759"/>
      <c r="AO4" s="759" t="s">
        <v>163</v>
      </c>
      <c r="AP4" s="759"/>
      <c r="AQ4" s="759"/>
      <c r="AR4" s="759"/>
      <c r="AS4" s="759"/>
      <c r="AT4" s="301"/>
      <c r="AU4" s="759" t="s">
        <v>164</v>
      </c>
      <c r="AV4" s="759"/>
      <c r="AW4" s="759"/>
      <c r="AX4" s="759"/>
      <c r="AY4" s="759"/>
      <c r="AZ4" s="301"/>
      <c r="BA4" s="759" t="s">
        <v>165</v>
      </c>
      <c r="BB4" s="759"/>
      <c r="BC4" s="759"/>
      <c r="BD4" s="759"/>
      <c r="BE4" s="759"/>
      <c r="BG4" s="759" t="s">
        <v>171</v>
      </c>
      <c r="BH4" s="759"/>
      <c r="BI4" s="759"/>
      <c r="BJ4" s="759"/>
      <c r="BK4" s="759"/>
      <c r="BL4" s="301"/>
      <c r="BM4" s="759" t="s">
        <v>173</v>
      </c>
      <c r="BN4" s="759"/>
      <c r="BO4" s="759"/>
      <c r="BP4" s="759"/>
      <c r="BQ4" s="759"/>
      <c r="BS4" s="759" t="s">
        <v>175</v>
      </c>
      <c r="BT4" s="759"/>
      <c r="BU4" s="759"/>
      <c r="BV4" s="759"/>
      <c r="BW4" s="759"/>
      <c r="BY4" s="759" t="s">
        <v>177</v>
      </c>
      <c r="BZ4" s="759"/>
      <c r="CA4" s="759"/>
      <c r="CB4" s="759"/>
      <c r="CC4" s="759"/>
      <c r="CE4" s="759" t="s">
        <v>178</v>
      </c>
      <c r="CF4" s="759"/>
      <c r="CG4" s="759"/>
      <c r="CH4" s="759"/>
      <c r="CI4" s="759"/>
      <c r="CJ4" s="301"/>
      <c r="CK4" s="759" t="s">
        <v>181</v>
      </c>
      <c r="CL4" s="759"/>
      <c r="CM4" s="759"/>
      <c r="CN4" s="759"/>
      <c r="CO4" s="759"/>
      <c r="CP4" s="301"/>
    </row>
    <row r="5" spans="1:94" s="12" customFormat="1" ht="16.5" thickTop="1" thickBot="1" x14ac:dyDescent="0.3">
      <c r="A5" s="13" t="s">
        <v>36</v>
      </c>
      <c r="B5" s="13" t="s">
        <v>37</v>
      </c>
      <c r="C5" s="13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4">
        <v>43101</v>
      </c>
      <c r="I5" s="14">
        <v>43191</v>
      </c>
      <c r="J5" s="14">
        <v>43282</v>
      </c>
      <c r="K5" s="14">
        <v>43374</v>
      </c>
      <c r="L5" s="32" t="s">
        <v>43</v>
      </c>
      <c r="M5"/>
      <c r="N5" s="322" t="s">
        <v>694</v>
      </c>
      <c r="O5" s="5"/>
      <c r="P5" s="8" t="s">
        <v>4</v>
      </c>
      <c r="Q5" s="8" t="s">
        <v>3</v>
      </c>
      <c r="R5" s="8" t="s">
        <v>32</v>
      </c>
      <c r="S5" s="7" t="s">
        <v>6</v>
      </c>
      <c r="T5" s="7" t="s">
        <v>5</v>
      </c>
      <c r="V5" s="8" t="s">
        <v>4</v>
      </c>
      <c r="W5" s="8" t="s">
        <v>3</v>
      </c>
      <c r="X5" s="8" t="s">
        <v>32</v>
      </c>
      <c r="Y5" s="7" t="s">
        <v>6</v>
      </c>
      <c r="Z5" s="7" t="s">
        <v>5</v>
      </c>
      <c r="AA5" s="48" t="s">
        <v>185</v>
      </c>
      <c r="AB5" s="38"/>
      <c r="AC5" s="8" t="s">
        <v>4</v>
      </c>
      <c r="AD5" s="8" t="s">
        <v>3</v>
      </c>
      <c r="AE5" s="8" t="s">
        <v>32</v>
      </c>
      <c r="AF5" s="7" t="s">
        <v>6</v>
      </c>
      <c r="AG5" s="7" t="s">
        <v>5</v>
      </c>
      <c r="AH5" s="344"/>
      <c r="AI5" s="8" t="s">
        <v>4</v>
      </c>
      <c r="AJ5" s="8" t="s">
        <v>3</v>
      </c>
      <c r="AK5" s="8" t="s">
        <v>32</v>
      </c>
      <c r="AL5" s="7" t="s">
        <v>6</v>
      </c>
      <c r="AM5" s="7" t="s">
        <v>5</v>
      </c>
      <c r="AN5" s="5"/>
      <c r="AO5" s="8" t="s">
        <v>4</v>
      </c>
      <c r="AP5" s="8" t="s">
        <v>3</v>
      </c>
      <c r="AQ5" s="8" t="s">
        <v>32</v>
      </c>
      <c r="AR5" s="7" t="s">
        <v>6</v>
      </c>
      <c r="AS5" s="7" t="s">
        <v>5</v>
      </c>
      <c r="AT5" s="345"/>
      <c r="AU5" s="8" t="s">
        <v>4</v>
      </c>
      <c r="AV5" s="8" t="s">
        <v>3</v>
      </c>
      <c r="AW5" s="8" t="s">
        <v>32</v>
      </c>
      <c r="AX5" s="7" t="s">
        <v>6</v>
      </c>
      <c r="AY5" s="7" t="s">
        <v>5</v>
      </c>
      <c r="AZ5" s="345"/>
      <c r="BA5" s="8" t="s">
        <v>4</v>
      </c>
      <c r="BB5" s="8" t="s">
        <v>3</v>
      </c>
      <c r="BC5" s="8" t="s">
        <v>32</v>
      </c>
      <c r="BD5" s="7" t="s">
        <v>6</v>
      </c>
      <c r="BE5" s="7" t="s">
        <v>5</v>
      </c>
      <c r="BG5" s="8" t="s">
        <v>4</v>
      </c>
      <c r="BH5" s="8" t="s">
        <v>3</v>
      </c>
      <c r="BI5" s="8" t="s">
        <v>32</v>
      </c>
      <c r="BJ5" s="7" t="s">
        <v>6</v>
      </c>
      <c r="BK5" s="7" t="s">
        <v>5</v>
      </c>
      <c r="BL5" s="302"/>
      <c r="BM5" s="8" t="s">
        <v>4</v>
      </c>
      <c r="BN5" s="8" t="s">
        <v>3</v>
      </c>
      <c r="BO5" s="8" t="s">
        <v>32</v>
      </c>
      <c r="BP5" s="7" t="s">
        <v>6</v>
      </c>
      <c r="BQ5" s="7" t="s">
        <v>5</v>
      </c>
      <c r="BS5" s="8" t="s">
        <v>4</v>
      </c>
      <c r="BT5" s="8" t="s">
        <v>3</v>
      </c>
      <c r="BU5" s="8" t="s">
        <v>32</v>
      </c>
      <c r="BV5" s="7" t="s">
        <v>6</v>
      </c>
      <c r="BW5" s="7" t="s">
        <v>5</v>
      </c>
      <c r="BY5" s="8" t="s">
        <v>4</v>
      </c>
      <c r="BZ5" s="8" t="s">
        <v>3</v>
      </c>
      <c r="CA5" s="8" t="s">
        <v>32</v>
      </c>
      <c r="CB5" s="7" t="s">
        <v>6</v>
      </c>
      <c r="CC5" s="7" t="s">
        <v>5</v>
      </c>
      <c r="CE5" s="8" t="s">
        <v>4</v>
      </c>
      <c r="CF5" s="8" t="s">
        <v>3</v>
      </c>
      <c r="CG5" s="8" t="s">
        <v>32</v>
      </c>
      <c r="CH5" s="7" t="s">
        <v>6</v>
      </c>
      <c r="CI5" s="7" t="s">
        <v>5</v>
      </c>
      <c r="CJ5" s="302"/>
      <c r="CK5" s="8" t="s">
        <v>4</v>
      </c>
      <c r="CL5" s="8" t="s">
        <v>3</v>
      </c>
      <c r="CM5" s="8" t="s">
        <v>32</v>
      </c>
      <c r="CN5" s="7" t="s">
        <v>6</v>
      </c>
      <c r="CO5" s="7" t="s">
        <v>5</v>
      </c>
      <c r="CP5" s="302"/>
    </row>
    <row r="6" spans="1:94" s="4" customFormat="1" ht="15.75" thickBot="1" x14ac:dyDescent="0.3">
      <c r="A6" s="761" t="s">
        <v>44</v>
      </c>
      <c r="B6" s="761"/>
      <c r="C6" s="761"/>
      <c r="D6" s="761"/>
      <c r="E6" s="761"/>
      <c r="F6" s="761"/>
      <c r="G6" s="761"/>
      <c r="H6" s="15"/>
      <c r="I6" s="15"/>
      <c r="J6" s="15"/>
      <c r="K6" s="15"/>
      <c r="L6" s="15"/>
      <c r="M6" s="9"/>
      <c r="N6" s="112"/>
      <c r="O6" s="112"/>
      <c r="P6" s="112"/>
      <c r="Q6" s="112"/>
      <c r="R6" s="112"/>
      <c r="S6" s="112"/>
      <c r="T6" s="112"/>
      <c r="U6" s="65"/>
      <c r="V6" s="65"/>
      <c r="W6" s="65"/>
      <c r="X6" s="65"/>
      <c r="Y6" s="65"/>
      <c r="Z6" s="65"/>
      <c r="AA6" s="267"/>
      <c r="AB6" s="65"/>
      <c r="AC6" s="65"/>
      <c r="AD6" s="65"/>
      <c r="AE6" s="65"/>
      <c r="AF6" s="65"/>
      <c r="AG6" s="65"/>
      <c r="AH6" s="313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313"/>
      <c r="AU6" s="65"/>
      <c r="AV6" s="65"/>
      <c r="AW6" s="65"/>
      <c r="AX6" s="65"/>
      <c r="AY6" s="65"/>
      <c r="AZ6" s="313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313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302"/>
      <c r="CP6" s="302"/>
    </row>
    <row r="7" spans="1:94" x14ac:dyDescent="0.25">
      <c r="A7" s="3" t="s">
        <v>246</v>
      </c>
      <c r="B7" s="3" t="s">
        <v>46</v>
      </c>
      <c r="C7" s="3" t="s">
        <v>47</v>
      </c>
      <c r="D7" s="3" t="s">
        <v>48</v>
      </c>
      <c r="E7" s="3" t="s">
        <v>48</v>
      </c>
      <c r="F7" s="3" t="s">
        <v>389</v>
      </c>
      <c r="G7" t="s">
        <v>49</v>
      </c>
      <c r="H7" s="67">
        <f t="shared" ref="H7:K20" si="0">$L7/4</f>
        <v>382914</v>
      </c>
      <c r="I7" s="67">
        <f t="shared" si="0"/>
        <v>382914</v>
      </c>
      <c r="J7" s="67">
        <f t="shared" si="0"/>
        <v>382914</v>
      </c>
      <c r="K7" s="67">
        <f>$L7/4</f>
        <v>382914</v>
      </c>
      <c r="L7" s="705">
        <v>1531656</v>
      </c>
      <c r="N7" s="206" t="s">
        <v>477</v>
      </c>
      <c r="P7" s="195">
        <f>INDEX('Apportionment Bases'!AK$6:AK$33,MATCH('PC17'!$N7,'Apportionment Bases'!$A$6:$A$33,0))</f>
        <v>0.48</v>
      </c>
      <c r="Q7" s="195">
        <f>INDEX('Apportionment Bases'!AL$6:AL$33,MATCH('PC17'!$N7,'Apportionment Bases'!$A$6:$A$33,0))</f>
        <v>0.375</v>
      </c>
      <c r="R7" s="195">
        <f>INDEX('Apportionment Bases'!AM$6:AM$33,MATCH('PC17'!$N7,'Apportionment Bases'!$A$6:$A$33,0))</f>
        <v>8.4000000000000005E-2</v>
      </c>
      <c r="S7" s="195">
        <f>INDEX('Apportionment Bases'!AN$6:AN$33,MATCH('PC17'!$N7,'Apportionment Bases'!$A$6:$A$33,0))</f>
        <v>3.0499999999999999E-2</v>
      </c>
      <c r="T7" s="195">
        <f>INDEX('Apportionment Bases'!AO$6:AO$33,MATCH('PC17'!$N7,'Apportionment Bases'!$A$6:$A$33,0))</f>
        <v>3.0499999999999999E-2</v>
      </c>
      <c r="U7" s="697"/>
      <c r="V7" s="72">
        <f>$L7*P7</f>
        <v>735194.88</v>
      </c>
      <c r="W7" s="72">
        <f t="shared" ref="W7:W20" si="1">$L7*Q7</f>
        <v>574371</v>
      </c>
      <c r="X7" s="72">
        <f>$L7*R7</f>
        <v>128659.10400000001</v>
      </c>
      <c r="Y7" s="72">
        <f>$L7*S7</f>
        <v>46715.508000000002</v>
      </c>
      <c r="Z7" s="72">
        <f>$L7*T7</f>
        <v>46715.508000000002</v>
      </c>
      <c r="AA7" s="271" t="str">
        <f>IF(SUM(V7:Z7)=L7,"TRUE","FALSE")</f>
        <v>TRUE</v>
      </c>
      <c r="AB7" s="59" t="s">
        <v>163</v>
      </c>
      <c r="AC7" s="696">
        <f>'Apportionment Assumptions'!AC8</f>
        <v>0.63580000000000003</v>
      </c>
      <c r="AD7" s="696">
        <f>'Apportionment Assumptions'!AD8</f>
        <v>0.99542694945990695</v>
      </c>
      <c r="AE7" s="696">
        <f>'Apportionment Assumptions'!AE8</f>
        <v>1</v>
      </c>
      <c r="AF7" s="696">
        <f>'Apportionment Assumptions'!AF8</f>
        <v>0.58819999999999995</v>
      </c>
      <c r="AG7" s="696">
        <f>'Apportionment Assumptions'!AG8</f>
        <v>1</v>
      </c>
      <c r="AH7" s="301"/>
      <c r="AO7" s="72">
        <f>$AC$7*V7</f>
        <v>467436.90470400004</v>
      </c>
      <c r="AP7" s="72">
        <f t="shared" ref="AP7:AP20" si="2">$AD$7*W7</f>
        <v>571744.37238823622</v>
      </c>
      <c r="AQ7" s="72">
        <f t="shared" ref="AQ7:AQ20" si="3">$AE$7*X7</f>
        <v>128659.10400000001</v>
      </c>
      <c r="AR7" s="72">
        <f t="shared" ref="AR7:AR20" si="4">$AF$7*Y7</f>
        <v>27478.061805599998</v>
      </c>
      <c r="AS7" s="72">
        <f t="shared" ref="AS7:AS20" si="5">$AG$7*Z7</f>
        <v>46715.508000000002</v>
      </c>
      <c r="AT7" s="301"/>
      <c r="AU7" s="72">
        <f t="shared" ref="AU7:AU20" si="6">$AC$8*V7</f>
        <v>62712.123264000002</v>
      </c>
      <c r="AV7" s="72">
        <f t="shared" ref="AV7:AV20" si="7">$AD$8*W7</f>
        <v>596.2746589923521</v>
      </c>
      <c r="AW7" s="72">
        <f t="shared" ref="AW7:AW20" si="8">$AE$8*X7</f>
        <v>0</v>
      </c>
      <c r="AX7" s="72">
        <f>$AF$8*Y7</f>
        <v>4185.7095168000005</v>
      </c>
      <c r="AY7" s="72">
        <f>$AG$8*Z7</f>
        <v>0</v>
      </c>
      <c r="AZ7" s="301"/>
      <c r="BG7" s="72">
        <f t="shared" ref="BG7:BG20" si="9">$AC$9*V7</f>
        <v>108808.84224</v>
      </c>
      <c r="BH7" s="72">
        <f t="shared" ref="BH7:BH20" si="10">$AD$9*W7</f>
        <v>1064.2370495939447</v>
      </c>
      <c r="BI7" s="72">
        <f t="shared" ref="BI7:BI20" si="11">$AE$9*X7</f>
        <v>0</v>
      </c>
      <c r="BJ7" s="72">
        <f t="shared" ref="BJ7:BJ20" si="12">$AF$9*Y7</f>
        <v>9534.6351828000006</v>
      </c>
      <c r="BK7" s="72">
        <f t="shared" ref="BK7:BK20" si="13">$AG$9*Z7</f>
        <v>0</v>
      </c>
      <c r="BL7" s="301"/>
      <c r="CE7" s="72">
        <f t="shared" ref="CE7:CE20" si="14">$AC$10*V7</f>
        <v>2720.2210560000003</v>
      </c>
      <c r="CF7" s="72">
        <f t="shared" ref="CF7:CF20" si="15">$AD$10*W7</f>
        <v>30.191121974296305</v>
      </c>
      <c r="CG7" s="72">
        <f t="shared" ref="CG7:CG20" si="16">$AE$10*X7</f>
        <v>0</v>
      </c>
      <c r="CH7" s="72">
        <f t="shared" ref="CH7:CH20" si="17">$AF$10*Y7</f>
        <v>275.62149720000002</v>
      </c>
      <c r="CI7" s="72">
        <f t="shared" ref="CI7:CI20" si="18">$AG$10*Z7</f>
        <v>0</v>
      </c>
      <c r="CJ7" s="301"/>
      <c r="CK7" s="72">
        <f t="shared" ref="CK7:CK20" si="19">$AC$11*V7</f>
        <v>93516.788736000002</v>
      </c>
      <c r="CL7" s="72">
        <f t="shared" ref="CL7:CL20" si="20">$AD$11*W7</f>
        <v>935.92478120318538</v>
      </c>
      <c r="CM7" s="72">
        <f t="shared" ref="CM7:CM20" si="21">$AE$11*X7</f>
        <v>0</v>
      </c>
      <c r="CN7" s="72">
        <f t="shared" ref="CN7:CN20" si="22">$AF$11*Y7</f>
        <v>5241.4799975999995</v>
      </c>
      <c r="CO7" s="72">
        <f t="shared" ref="CO7:CO20" si="23">$AG$11*Z7</f>
        <v>0</v>
      </c>
      <c r="CP7" s="301"/>
    </row>
    <row r="8" spans="1:94" x14ac:dyDescent="0.25">
      <c r="A8" s="3" t="s">
        <v>246</v>
      </c>
      <c r="B8" s="3" t="s">
        <v>46</v>
      </c>
      <c r="C8" s="3" t="s">
        <v>45</v>
      </c>
      <c r="D8" s="3" t="s">
        <v>48</v>
      </c>
      <c r="E8" s="3" t="s">
        <v>48</v>
      </c>
      <c r="F8" s="3" t="s">
        <v>390</v>
      </c>
      <c r="G8" t="s">
        <v>49</v>
      </c>
      <c r="H8" s="67">
        <f t="shared" si="0"/>
        <v>68223.25</v>
      </c>
      <c r="I8" s="67">
        <f t="shared" si="0"/>
        <v>68223.25</v>
      </c>
      <c r="J8" s="67">
        <f t="shared" si="0"/>
        <v>68223.25</v>
      </c>
      <c r="K8" s="67">
        <f t="shared" si="0"/>
        <v>68223.25</v>
      </c>
      <c r="L8" s="705">
        <v>272893</v>
      </c>
      <c r="N8" s="206" t="s">
        <v>478</v>
      </c>
      <c r="P8" s="693">
        <f>INDEX('Apportionment Bases'!AK$6:AK$33,MATCH('PC17'!$N8,'Apportionment Bases'!$A$6:$A$33,0))</f>
        <v>0.1095</v>
      </c>
      <c r="Q8" s="693">
        <f>INDEX('Apportionment Bases'!AL$6:AL$33,MATCH('PC17'!$N8,'Apportionment Bases'!$A$6:$A$33,0))</f>
        <v>0.41525000000000001</v>
      </c>
      <c r="R8" s="693">
        <f>INDEX('Apportionment Bases'!AM$6:AM$33,MATCH('PC17'!$N8,'Apportionment Bases'!$A$6:$A$33,0))</f>
        <v>0.32724999999999999</v>
      </c>
      <c r="S8" s="693">
        <f>INDEX('Apportionment Bases'!AN$6:AN$33,MATCH('PC17'!$N8,'Apportionment Bases'!$A$6:$A$33,0))</f>
        <v>7.3999999999999996E-2</v>
      </c>
      <c r="T8" s="693">
        <f>INDEX('Apportionment Bases'!AO$6:AO$33,MATCH('PC17'!$N8,'Apportionment Bases'!$A$6:$A$33,0))</f>
        <v>7.3999999999999996E-2</v>
      </c>
      <c r="U8" s="697"/>
      <c r="V8" s="72">
        <f t="shared" ref="V8:V20" si="24">$L8*P8</f>
        <v>29881.783500000001</v>
      </c>
      <c r="W8" s="72">
        <f t="shared" si="1"/>
        <v>113318.81825</v>
      </c>
      <c r="X8" s="72">
        <f t="shared" ref="X8:X20" si="25">$L8*R8</f>
        <v>89304.234249999994</v>
      </c>
      <c r="Y8" s="72">
        <f t="shared" ref="Y8:Y20" si="26">$L8*S8</f>
        <v>20194.081999999999</v>
      </c>
      <c r="Z8" s="72">
        <f t="shared" ref="Z8:Z20" si="27">$L8*T8</f>
        <v>20194.081999999999</v>
      </c>
      <c r="AA8" s="272" t="str">
        <f t="shared" ref="AA8:AA20" si="28">IF(SUM(V8:Z8)=L8,"TRUE","FALSE")</f>
        <v>TRUE</v>
      </c>
      <c r="AB8" s="59" t="s">
        <v>164</v>
      </c>
      <c r="AC8" s="696">
        <f>'Apportionment Assumptions'!AC9</f>
        <v>8.5300000000000001E-2</v>
      </c>
      <c r="AD8" s="696">
        <f>'Apportionment Assumptions'!AD9</f>
        <v>1.0381350364004312E-3</v>
      </c>
      <c r="AE8" s="696">
        <f>'Apportionment Assumptions'!AE9</f>
        <v>0</v>
      </c>
      <c r="AF8" s="696">
        <f>'Apportionment Assumptions'!AF9</f>
        <v>8.9599999999999999E-2</v>
      </c>
      <c r="AG8" s="696">
        <f>'Apportionment Assumptions'!AG9</f>
        <v>0</v>
      </c>
      <c r="AH8" s="301"/>
      <c r="AO8" s="72">
        <f t="shared" ref="AO8:AO20" si="29">$AC$7*V8</f>
        <v>18998.837949300003</v>
      </c>
      <c r="AP8" s="72">
        <f t="shared" si="2"/>
        <v>112800.60556699913</v>
      </c>
      <c r="AQ8" s="72">
        <f t="shared" si="3"/>
        <v>89304.234249999994</v>
      </c>
      <c r="AR8" s="72">
        <f t="shared" si="4"/>
        <v>11878.159032399997</v>
      </c>
      <c r="AS8" s="72">
        <f t="shared" si="5"/>
        <v>20194.081999999999</v>
      </c>
      <c r="AT8" s="301"/>
      <c r="AU8" s="72">
        <f t="shared" si="6"/>
        <v>2548.9161325499999</v>
      </c>
      <c r="AV8" s="72">
        <f>$AD$8*W8</f>
        <v>117.6402355088176</v>
      </c>
      <c r="AW8" s="72">
        <f t="shared" si="8"/>
        <v>0</v>
      </c>
      <c r="AX8" s="72">
        <f t="shared" ref="AX8:AX20" si="30">$AF$8*Y8</f>
        <v>1809.3897471999999</v>
      </c>
      <c r="AY8" s="72">
        <f t="shared" ref="AY8:AY20" si="31">$AG$8*Z8</f>
        <v>0</v>
      </c>
      <c r="AZ8" s="301"/>
      <c r="BG8" s="72">
        <f t="shared" si="9"/>
        <v>4422.5039580000002</v>
      </c>
      <c r="BH8" s="72">
        <f t="shared" si="10"/>
        <v>209.96548362966175</v>
      </c>
      <c r="BI8" s="72">
        <f t="shared" si="11"/>
        <v>0</v>
      </c>
      <c r="BJ8" s="72">
        <f t="shared" si="12"/>
        <v>4121.6121361999994</v>
      </c>
      <c r="BK8" s="72">
        <f t="shared" si="13"/>
        <v>0</v>
      </c>
      <c r="BL8" s="301"/>
      <c r="CE8" s="72">
        <f t="shared" si="14"/>
        <v>110.56259895000001</v>
      </c>
      <c r="CF8" s="72">
        <f t="shared" si="15"/>
        <v>5.956467620699625</v>
      </c>
      <c r="CG8" s="72">
        <f t="shared" si="16"/>
        <v>0</v>
      </c>
      <c r="CH8" s="72">
        <f t="shared" si="17"/>
        <v>119.14508379999999</v>
      </c>
      <c r="CI8" s="72">
        <f t="shared" si="18"/>
        <v>0</v>
      </c>
      <c r="CJ8" s="301"/>
      <c r="CK8" s="72">
        <f t="shared" si="19"/>
        <v>3800.9628612000006</v>
      </c>
      <c r="CL8" s="72">
        <f t="shared" si="20"/>
        <v>184.65049624168836</v>
      </c>
      <c r="CM8" s="72">
        <f t="shared" si="21"/>
        <v>0</v>
      </c>
      <c r="CN8" s="72">
        <f t="shared" si="22"/>
        <v>2265.7760003999997</v>
      </c>
      <c r="CO8" s="72">
        <f t="shared" si="23"/>
        <v>0</v>
      </c>
      <c r="CP8" s="301"/>
    </row>
    <row r="9" spans="1:94" s="62" customFormat="1" x14ac:dyDescent="0.25">
      <c r="A9" s="110" t="s">
        <v>246</v>
      </c>
      <c r="B9" s="110" t="s">
        <v>50</v>
      </c>
      <c r="C9" s="110" t="s">
        <v>47</v>
      </c>
      <c r="D9" s="110" t="s">
        <v>48</v>
      </c>
      <c r="E9" s="110" t="s">
        <v>48</v>
      </c>
      <c r="F9" s="110" t="s">
        <v>391</v>
      </c>
      <c r="G9" s="62" t="s">
        <v>51</v>
      </c>
      <c r="H9" s="122">
        <f t="shared" si="0"/>
        <v>9786.25</v>
      </c>
      <c r="I9" s="122">
        <f t="shared" si="0"/>
        <v>9786.25</v>
      </c>
      <c r="J9" s="122">
        <f t="shared" si="0"/>
        <v>9786.25</v>
      </c>
      <c r="K9" s="122">
        <f t="shared" si="0"/>
        <v>9786.25</v>
      </c>
      <c r="L9" s="705">
        <v>39145</v>
      </c>
      <c r="N9" s="206" t="s">
        <v>531</v>
      </c>
      <c r="P9" s="195">
        <f>INDEX('Apportionment Bases'!AK$6:AK$33,MATCH('PC17'!$N9,'Apportionment Bases'!$A$6:$A$33,0))</f>
        <v>0.48</v>
      </c>
      <c r="Q9" s="195">
        <f>INDEX('Apportionment Bases'!AL$6:AL$33,MATCH('PC17'!$N9,'Apportionment Bases'!$A$6:$A$33,0))</f>
        <v>0.375</v>
      </c>
      <c r="R9" s="195">
        <f>INDEX('Apportionment Bases'!AM$6:AM$33,MATCH('PC17'!$N9,'Apportionment Bases'!$A$6:$A$33,0))</f>
        <v>8.4000000000000005E-2</v>
      </c>
      <c r="S9" s="195">
        <f>INDEX('Apportionment Bases'!AN$6:AN$33,MATCH('PC17'!$N9,'Apportionment Bases'!$A$6:$A$33,0))</f>
        <v>3.0499999999999999E-2</v>
      </c>
      <c r="T9" s="195">
        <f>INDEX('Apportionment Bases'!AO$6:AO$33,MATCH('PC17'!$N9,'Apportionment Bases'!$A$6:$A$33,0))</f>
        <v>3.0499999999999999E-2</v>
      </c>
      <c r="U9" s="697"/>
      <c r="V9" s="97">
        <f t="shared" si="24"/>
        <v>18789.599999999999</v>
      </c>
      <c r="W9" s="97">
        <f t="shared" si="1"/>
        <v>14679.375</v>
      </c>
      <c r="X9" s="97">
        <f t="shared" si="25"/>
        <v>3288.1800000000003</v>
      </c>
      <c r="Y9" s="97">
        <f t="shared" si="26"/>
        <v>1193.9224999999999</v>
      </c>
      <c r="Z9" s="97">
        <f t="shared" si="27"/>
        <v>1193.9224999999999</v>
      </c>
      <c r="AA9" s="272" t="str">
        <f t="shared" si="28"/>
        <v>TRUE</v>
      </c>
      <c r="AB9" s="59" t="s">
        <v>171</v>
      </c>
      <c r="AC9" s="696">
        <f>'Apportionment Assumptions'!AC11</f>
        <v>0.14799999999999999</v>
      </c>
      <c r="AD9" s="696">
        <f>'Apportionment Assumptions'!AD11</f>
        <v>1.8528739257273517E-3</v>
      </c>
      <c r="AE9" s="696">
        <f>'Apportionment Assumptions'!AE11</f>
        <v>0</v>
      </c>
      <c r="AF9" s="696">
        <f>'Apportionment Assumptions'!AF11</f>
        <v>0.2041</v>
      </c>
      <c r="AG9" s="696">
        <f>'Apportionment Assumptions'!AG11</f>
        <v>0</v>
      </c>
      <c r="AH9" s="318"/>
      <c r="AO9" s="97">
        <f t="shared" si="29"/>
        <v>11946.427679999999</v>
      </c>
      <c r="AP9" s="97">
        <f t="shared" si="2"/>
        <v>14612.245476228021</v>
      </c>
      <c r="AQ9" s="97">
        <f t="shared" si="3"/>
        <v>3288.1800000000003</v>
      </c>
      <c r="AR9" s="97">
        <f t="shared" si="4"/>
        <v>702.26521449999984</v>
      </c>
      <c r="AS9" s="97">
        <f t="shared" si="5"/>
        <v>1193.9224999999999</v>
      </c>
      <c r="AT9" s="318"/>
      <c r="AU9" s="97">
        <f t="shared" si="6"/>
        <v>1602.75288</v>
      </c>
      <c r="AV9" s="97">
        <f t="shared" si="7"/>
        <v>15.239173499960581</v>
      </c>
      <c r="AW9" s="97">
        <f t="shared" si="8"/>
        <v>0</v>
      </c>
      <c r="AX9" s="97">
        <f t="shared" si="30"/>
        <v>106.97545599999999</v>
      </c>
      <c r="AY9" s="97">
        <f t="shared" si="31"/>
        <v>0</v>
      </c>
      <c r="AZ9" s="318"/>
      <c r="BG9" s="97">
        <f t="shared" si="9"/>
        <v>2780.8607999999995</v>
      </c>
      <c r="BH9" s="97">
        <f t="shared" si="10"/>
        <v>27.199031183473942</v>
      </c>
      <c r="BI9" s="97">
        <f t="shared" si="11"/>
        <v>0</v>
      </c>
      <c r="BJ9" s="97">
        <f t="shared" si="12"/>
        <v>243.67958224999998</v>
      </c>
      <c r="BK9" s="97">
        <f t="shared" si="13"/>
        <v>0</v>
      </c>
      <c r="BL9" s="318"/>
      <c r="CE9" s="97">
        <f t="shared" si="14"/>
        <v>69.521519999999995</v>
      </c>
      <c r="CF9" s="97">
        <f t="shared" si="15"/>
        <v>0.7716037215169913</v>
      </c>
      <c r="CG9" s="97">
        <f t="shared" si="16"/>
        <v>0</v>
      </c>
      <c r="CH9" s="97">
        <f t="shared" si="17"/>
        <v>7.0441427499999989</v>
      </c>
      <c r="CI9" s="97">
        <f t="shared" si="18"/>
        <v>0</v>
      </c>
      <c r="CJ9" s="318"/>
      <c r="CK9" s="97">
        <f t="shared" si="19"/>
        <v>2390.03712</v>
      </c>
      <c r="CL9" s="97">
        <f t="shared" si="20"/>
        <v>23.919715367026729</v>
      </c>
      <c r="CM9" s="97">
        <f t="shared" si="21"/>
        <v>0</v>
      </c>
      <c r="CN9" s="97">
        <f t="shared" si="22"/>
        <v>133.95810449999999</v>
      </c>
      <c r="CO9" s="97">
        <f t="shared" si="23"/>
        <v>0</v>
      </c>
      <c r="CP9" s="318"/>
    </row>
    <row r="10" spans="1:94" s="62" customFormat="1" x14ac:dyDescent="0.25">
      <c r="A10" s="110" t="s">
        <v>246</v>
      </c>
      <c r="B10" s="110" t="s">
        <v>50</v>
      </c>
      <c r="C10" s="110" t="s">
        <v>45</v>
      </c>
      <c r="D10" s="110" t="s">
        <v>48</v>
      </c>
      <c r="E10" s="110" t="s">
        <v>48</v>
      </c>
      <c r="F10" s="110" t="s">
        <v>392</v>
      </c>
      <c r="G10" s="62" t="s">
        <v>51</v>
      </c>
      <c r="H10" s="122">
        <f t="shared" si="0"/>
        <v>50</v>
      </c>
      <c r="I10" s="122">
        <f t="shared" si="0"/>
        <v>50</v>
      </c>
      <c r="J10" s="122">
        <f t="shared" si="0"/>
        <v>50</v>
      </c>
      <c r="K10" s="122">
        <f t="shared" si="0"/>
        <v>50</v>
      </c>
      <c r="L10" s="705">
        <v>200</v>
      </c>
      <c r="N10" s="206" t="s">
        <v>532</v>
      </c>
      <c r="P10" s="195">
        <f>INDEX('Apportionment Bases'!AK$6:AK$33,MATCH('PC17'!$N10,'Apportionment Bases'!$A$6:$A$33,0))</f>
        <v>0.1095</v>
      </c>
      <c r="Q10" s="195">
        <f>INDEX('Apportionment Bases'!AL$6:AL$33,MATCH('PC17'!$N10,'Apportionment Bases'!$A$6:$A$33,0))</f>
        <v>0.41525000000000001</v>
      </c>
      <c r="R10" s="195">
        <f>INDEX('Apportionment Bases'!AM$6:AM$33,MATCH('PC17'!$N10,'Apportionment Bases'!$A$6:$A$33,0))</f>
        <v>0.32724999999999999</v>
      </c>
      <c r="S10" s="195">
        <f>INDEX('Apportionment Bases'!AN$6:AN$33,MATCH('PC17'!$N10,'Apportionment Bases'!$A$6:$A$33,0))</f>
        <v>7.3999999999999996E-2</v>
      </c>
      <c r="T10" s="195">
        <f>INDEX('Apportionment Bases'!AO$6:AO$33,MATCH('PC17'!$N10,'Apportionment Bases'!$A$6:$A$33,0))</f>
        <v>7.3999999999999996E-2</v>
      </c>
      <c r="U10" s="697"/>
      <c r="V10" s="97">
        <f t="shared" si="24"/>
        <v>21.9</v>
      </c>
      <c r="W10" s="97">
        <f t="shared" si="1"/>
        <v>83.05</v>
      </c>
      <c r="X10" s="97">
        <f t="shared" si="25"/>
        <v>65.45</v>
      </c>
      <c r="Y10" s="97">
        <f t="shared" si="26"/>
        <v>14.799999999999999</v>
      </c>
      <c r="Z10" s="97">
        <f t="shared" si="27"/>
        <v>14.799999999999999</v>
      </c>
      <c r="AA10" s="272" t="str">
        <f t="shared" si="28"/>
        <v>TRUE</v>
      </c>
      <c r="AB10" s="59" t="s">
        <v>178</v>
      </c>
      <c r="AC10" s="696">
        <f>'Apportionment Assumptions'!AC15</f>
        <v>3.7000000000000002E-3</v>
      </c>
      <c r="AD10" s="696">
        <f>'Apportionment Assumptions'!AD15</f>
        <v>5.2563799311414235E-5</v>
      </c>
      <c r="AE10" s="696">
        <f>'Apportionment Assumptions'!AE15</f>
        <v>0</v>
      </c>
      <c r="AF10" s="696">
        <f>'Apportionment Assumptions'!AF15</f>
        <v>5.8999999999999999E-3</v>
      </c>
      <c r="AG10" s="696">
        <f>'Apportionment Assumptions'!AG15</f>
        <v>0</v>
      </c>
      <c r="AH10" s="318"/>
      <c r="AO10" s="97">
        <f t="shared" si="29"/>
        <v>13.924020000000001</v>
      </c>
      <c r="AP10" s="97">
        <f t="shared" si="2"/>
        <v>82.670208152645273</v>
      </c>
      <c r="AQ10" s="97">
        <f t="shared" si="3"/>
        <v>65.45</v>
      </c>
      <c r="AR10" s="97">
        <f t="shared" si="4"/>
        <v>8.7053599999999989</v>
      </c>
      <c r="AS10" s="97">
        <f t="shared" si="5"/>
        <v>14.799999999999999</v>
      </c>
      <c r="AT10" s="318"/>
      <c r="AU10" s="97">
        <f t="shared" si="6"/>
        <v>1.8680699999999999</v>
      </c>
      <c r="AV10" s="97">
        <f t="shared" si="7"/>
        <v>8.6217114773055811E-2</v>
      </c>
      <c r="AW10" s="97">
        <f t="shared" si="8"/>
        <v>0</v>
      </c>
      <c r="AX10" s="97">
        <f t="shared" si="30"/>
        <v>1.3260799999999999</v>
      </c>
      <c r="AY10" s="97">
        <f t="shared" si="31"/>
        <v>0</v>
      </c>
      <c r="AZ10" s="318"/>
      <c r="BG10" s="97">
        <f t="shared" si="9"/>
        <v>3.2411999999999996</v>
      </c>
      <c r="BH10" s="97">
        <f t="shared" si="10"/>
        <v>0.15388117953165656</v>
      </c>
      <c r="BI10" s="97">
        <f t="shared" si="11"/>
        <v>0</v>
      </c>
      <c r="BJ10" s="97">
        <f t="shared" si="12"/>
        <v>3.02068</v>
      </c>
      <c r="BK10" s="97">
        <f t="shared" si="13"/>
        <v>0</v>
      </c>
      <c r="BL10" s="318"/>
      <c r="CE10" s="97">
        <f t="shared" si="14"/>
        <v>8.1030000000000005E-2</v>
      </c>
      <c r="CF10" s="97">
        <f t="shared" si="15"/>
        <v>4.365423532812952E-3</v>
      </c>
      <c r="CG10" s="97">
        <f t="shared" si="16"/>
        <v>0</v>
      </c>
      <c r="CH10" s="97">
        <f t="shared" si="17"/>
        <v>8.7319999999999995E-2</v>
      </c>
      <c r="CI10" s="97">
        <f t="shared" si="18"/>
        <v>0</v>
      </c>
      <c r="CJ10" s="318"/>
      <c r="CK10" s="97">
        <f t="shared" si="19"/>
        <v>2.7856800000000002</v>
      </c>
      <c r="CL10" s="97">
        <f t="shared" si="20"/>
        <v>0.1353281295172015</v>
      </c>
      <c r="CM10" s="97">
        <f t="shared" si="21"/>
        <v>0</v>
      </c>
      <c r="CN10" s="97">
        <f t="shared" si="22"/>
        <v>1.6605599999999998</v>
      </c>
      <c r="CO10" s="97">
        <f t="shared" si="23"/>
        <v>0</v>
      </c>
      <c r="CP10" s="318"/>
    </row>
    <row r="11" spans="1:94" x14ac:dyDescent="0.25">
      <c r="A11" s="3" t="s">
        <v>246</v>
      </c>
      <c r="B11" s="3" t="s">
        <v>229</v>
      </c>
      <c r="C11" s="3" t="s">
        <v>47</v>
      </c>
      <c r="D11" s="3" t="s">
        <v>48</v>
      </c>
      <c r="E11" s="3" t="s">
        <v>48</v>
      </c>
      <c r="F11" s="3" t="s">
        <v>454</v>
      </c>
      <c r="G11" t="s">
        <v>230</v>
      </c>
      <c r="H11" s="67">
        <f t="shared" ref="H11:K12" si="32">$L11/4</f>
        <v>0</v>
      </c>
      <c r="I11" s="67">
        <f t="shared" si="32"/>
        <v>0</v>
      </c>
      <c r="J11" s="67">
        <f t="shared" si="32"/>
        <v>0</v>
      </c>
      <c r="K11" s="67">
        <f t="shared" si="32"/>
        <v>0</v>
      </c>
      <c r="L11" s="705">
        <v>0</v>
      </c>
      <c r="N11" s="206" t="s">
        <v>477</v>
      </c>
      <c r="P11" s="195">
        <f>INDEX('Apportionment Bases'!AK$6:AK$33,MATCH('PC17'!$N11,'Apportionment Bases'!$A$6:$A$33,0))</f>
        <v>0.48</v>
      </c>
      <c r="Q11" s="195">
        <f>INDEX('Apportionment Bases'!AL$6:AL$33,MATCH('PC17'!$N11,'Apportionment Bases'!$A$6:$A$33,0))</f>
        <v>0.375</v>
      </c>
      <c r="R11" s="195">
        <f>INDEX('Apportionment Bases'!AM$6:AM$33,MATCH('PC17'!$N11,'Apportionment Bases'!$A$6:$A$33,0))</f>
        <v>8.4000000000000005E-2</v>
      </c>
      <c r="S11" s="195">
        <f>INDEX('Apportionment Bases'!AN$6:AN$33,MATCH('PC17'!$N11,'Apportionment Bases'!$A$6:$A$33,0))</f>
        <v>3.0499999999999999E-2</v>
      </c>
      <c r="T11" s="195">
        <f>INDEX('Apportionment Bases'!AO$6:AO$33,MATCH('PC17'!$N11,'Apportionment Bases'!$A$6:$A$33,0))</f>
        <v>3.0499999999999999E-2</v>
      </c>
      <c r="U11" s="697"/>
      <c r="V11" s="72">
        <f t="shared" ref="V11:Z12" si="33">$L11*P11</f>
        <v>0</v>
      </c>
      <c r="W11" s="72">
        <f t="shared" si="33"/>
        <v>0</v>
      </c>
      <c r="X11" s="72">
        <f t="shared" si="33"/>
        <v>0</v>
      </c>
      <c r="Y11" s="72">
        <f t="shared" si="33"/>
        <v>0</v>
      </c>
      <c r="Z11" s="72">
        <f t="shared" si="33"/>
        <v>0</v>
      </c>
      <c r="AA11" s="272" t="str">
        <f t="shared" si="28"/>
        <v>TRUE</v>
      </c>
      <c r="AB11" s="59" t="s">
        <v>181</v>
      </c>
      <c r="AC11" s="696">
        <f>'Apportionment Assumptions'!AC16</f>
        <v>0.12720000000000001</v>
      </c>
      <c r="AD11" s="696">
        <f>'Apportionment Assumptions'!AD16</f>
        <v>1.6294777786538411E-3</v>
      </c>
      <c r="AE11" s="696">
        <f>'Apportionment Assumptions'!AE16</f>
        <v>0</v>
      </c>
      <c r="AF11" s="696">
        <f>'Apportionment Assumptions'!AF16</f>
        <v>0.11219999999999999</v>
      </c>
      <c r="AG11" s="696">
        <f>'Apportionment Assumptions'!AG16</f>
        <v>0</v>
      </c>
      <c r="AH11" s="301"/>
      <c r="AO11" s="72">
        <f t="shared" si="29"/>
        <v>0</v>
      </c>
      <c r="AP11" s="72">
        <f t="shared" si="2"/>
        <v>0</v>
      </c>
      <c r="AQ11" s="72">
        <f t="shared" si="3"/>
        <v>0</v>
      </c>
      <c r="AR11" s="72">
        <f t="shared" si="4"/>
        <v>0</v>
      </c>
      <c r="AS11" s="72">
        <f t="shared" si="5"/>
        <v>0</v>
      </c>
      <c r="AT11" s="301"/>
      <c r="AU11" s="72">
        <f t="shared" si="6"/>
        <v>0</v>
      </c>
      <c r="AV11" s="72">
        <f t="shared" si="7"/>
        <v>0</v>
      </c>
      <c r="AW11" s="72">
        <f t="shared" si="8"/>
        <v>0</v>
      </c>
      <c r="AX11" s="72">
        <f t="shared" si="30"/>
        <v>0</v>
      </c>
      <c r="AY11" s="72">
        <f t="shared" si="31"/>
        <v>0</v>
      </c>
      <c r="AZ11" s="301"/>
      <c r="BG11" s="72">
        <f t="shared" si="9"/>
        <v>0</v>
      </c>
      <c r="BH11" s="72">
        <f t="shared" si="10"/>
        <v>0</v>
      </c>
      <c r="BI11" s="72">
        <f t="shared" si="11"/>
        <v>0</v>
      </c>
      <c r="BJ11" s="72">
        <f t="shared" si="12"/>
        <v>0</v>
      </c>
      <c r="BK11" s="72">
        <f t="shared" si="13"/>
        <v>0</v>
      </c>
      <c r="BL11" s="301"/>
      <c r="CE11" s="72">
        <f t="shared" si="14"/>
        <v>0</v>
      </c>
      <c r="CF11" s="72">
        <f t="shared" si="15"/>
        <v>0</v>
      </c>
      <c r="CG11" s="72">
        <f t="shared" si="16"/>
        <v>0</v>
      </c>
      <c r="CH11" s="72">
        <f t="shared" si="17"/>
        <v>0</v>
      </c>
      <c r="CI11" s="72">
        <f t="shared" si="18"/>
        <v>0</v>
      </c>
      <c r="CJ11" s="301"/>
      <c r="CK11" s="72">
        <f t="shared" si="19"/>
        <v>0</v>
      </c>
      <c r="CL11" s="72">
        <f t="shared" si="20"/>
        <v>0</v>
      </c>
      <c r="CM11" s="72">
        <f t="shared" si="21"/>
        <v>0</v>
      </c>
      <c r="CN11" s="72">
        <f t="shared" si="22"/>
        <v>0</v>
      </c>
      <c r="CO11" s="72">
        <f t="shared" si="23"/>
        <v>0</v>
      </c>
      <c r="CP11" s="301"/>
    </row>
    <row r="12" spans="1:94" x14ac:dyDescent="0.25">
      <c r="A12" s="3" t="s">
        <v>246</v>
      </c>
      <c r="B12" s="3" t="s">
        <v>52</v>
      </c>
      <c r="C12" s="3" t="s">
        <v>47</v>
      </c>
      <c r="D12" s="3" t="s">
        <v>48</v>
      </c>
      <c r="E12" s="3" t="s">
        <v>48</v>
      </c>
      <c r="F12" s="3" t="s">
        <v>457</v>
      </c>
      <c r="G12" t="s">
        <v>53</v>
      </c>
      <c r="H12" s="67">
        <f t="shared" si="32"/>
        <v>0</v>
      </c>
      <c r="I12" s="67">
        <f t="shared" si="32"/>
        <v>0</v>
      </c>
      <c r="J12" s="67">
        <f t="shared" si="32"/>
        <v>0</v>
      </c>
      <c r="K12" s="67">
        <f t="shared" si="32"/>
        <v>0</v>
      </c>
      <c r="L12" s="705">
        <v>0</v>
      </c>
      <c r="N12" s="206" t="s">
        <v>477</v>
      </c>
      <c r="P12" s="195">
        <f>INDEX('Apportionment Bases'!AK$6:AK$33,MATCH('PC17'!$N12,'Apportionment Bases'!$A$6:$A$33,0))</f>
        <v>0.48</v>
      </c>
      <c r="Q12" s="195">
        <f>INDEX('Apportionment Bases'!AL$6:AL$33,MATCH('PC17'!$N12,'Apportionment Bases'!$A$6:$A$33,0))</f>
        <v>0.375</v>
      </c>
      <c r="R12" s="195">
        <f>INDEX('Apportionment Bases'!AM$6:AM$33,MATCH('PC17'!$N12,'Apportionment Bases'!$A$6:$A$33,0))</f>
        <v>8.4000000000000005E-2</v>
      </c>
      <c r="S12" s="195">
        <f>INDEX('Apportionment Bases'!AN$6:AN$33,MATCH('PC17'!$N12,'Apportionment Bases'!$A$6:$A$33,0))</f>
        <v>3.0499999999999999E-2</v>
      </c>
      <c r="T12" s="195">
        <f>INDEX('Apportionment Bases'!AO$6:AO$33,MATCH('PC17'!$N12,'Apportionment Bases'!$A$6:$A$33,0))</f>
        <v>3.0499999999999999E-2</v>
      </c>
      <c r="U12" s="697"/>
      <c r="V12" s="72">
        <f t="shared" si="33"/>
        <v>0</v>
      </c>
      <c r="W12" s="72">
        <f t="shared" si="33"/>
        <v>0</v>
      </c>
      <c r="X12" s="72">
        <f t="shared" si="33"/>
        <v>0</v>
      </c>
      <c r="Y12" s="72">
        <f t="shared" si="33"/>
        <v>0</v>
      </c>
      <c r="Z12" s="72">
        <f t="shared" si="33"/>
        <v>0</v>
      </c>
      <c r="AA12" s="272" t="str">
        <f t="shared" si="28"/>
        <v>TRUE</v>
      </c>
      <c r="AB12" s="5"/>
      <c r="AC12" s="93"/>
      <c r="AD12" s="93"/>
      <c r="AE12" s="93"/>
      <c r="AF12" s="93"/>
      <c r="AG12" s="93"/>
      <c r="AH12" s="301"/>
      <c r="AO12" s="72">
        <f t="shared" si="29"/>
        <v>0</v>
      </c>
      <c r="AP12" s="72">
        <f t="shared" si="2"/>
        <v>0</v>
      </c>
      <c r="AQ12" s="72">
        <f t="shared" si="3"/>
        <v>0</v>
      </c>
      <c r="AR12" s="72">
        <f t="shared" si="4"/>
        <v>0</v>
      </c>
      <c r="AS12" s="72">
        <f t="shared" si="5"/>
        <v>0</v>
      </c>
      <c r="AT12" s="301"/>
      <c r="AU12" s="72">
        <f t="shared" si="6"/>
        <v>0</v>
      </c>
      <c r="AV12" s="72">
        <f t="shared" si="7"/>
        <v>0</v>
      </c>
      <c r="AW12" s="72">
        <f t="shared" si="8"/>
        <v>0</v>
      </c>
      <c r="AX12" s="72">
        <f t="shared" si="30"/>
        <v>0</v>
      </c>
      <c r="AY12" s="72">
        <f t="shared" si="31"/>
        <v>0</v>
      </c>
      <c r="AZ12" s="301"/>
      <c r="BG12" s="72">
        <f t="shared" si="9"/>
        <v>0</v>
      </c>
      <c r="BH12" s="72">
        <f t="shared" si="10"/>
        <v>0</v>
      </c>
      <c r="BI12" s="72">
        <f t="shared" si="11"/>
        <v>0</v>
      </c>
      <c r="BJ12" s="72">
        <f t="shared" si="12"/>
        <v>0</v>
      </c>
      <c r="BK12" s="72">
        <f t="shared" si="13"/>
        <v>0</v>
      </c>
      <c r="BL12" s="301"/>
      <c r="CE12" s="72">
        <f t="shared" si="14"/>
        <v>0</v>
      </c>
      <c r="CF12" s="72">
        <f t="shared" si="15"/>
        <v>0</v>
      </c>
      <c r="CG12" s="72">
        <f t="shared" si="16"/>
        <v>0</v>
      </c>
      <c r="CH12" s="72">
        <f t="shared" si="17"/>
        <v>0</v>
      </c>
      <c r="CI12" s="72">
        <f t="shared" si="18"/>
        <v>0</v>
      </c>
      <c r="CJ12" s="301"/>
      <c r="CK12" s="72">
        <f t="shared" si="19"/>
        <v>0</v>
      </c>
      <c r="CL12" s="72">
        <f t="shared" si="20"/>
        <v>0</v>
      </c>
      <c r="CM12" s="72">
        <f t="shared" si="21"/>
        <v>0</v>
      </c>
      <c r="CN12" s="72">
        <f t="shared" si="22"/>
        <v>0</v>
      </c>
      <c r="CO12" s="72">
        <f t="shared" si="23"/>
        <v>0</v>
      </c>
      <c r="CP12" s="301"/>
    </row>
    <row r="13" spans="1:94" x14ac:dyDescent="0.25">
      <c r="A13" s="3" t="s">
        <v>246</v>
      </c>
      <c r="B13" s="3" t="s">
        <v>54</v>
      </c>
      <c r="C13" s="3" t="s">
        <v>47</v>
      </c>
      <c r="D13" s="3" t="s">
        <v>48</v>
      </c>
      <c r="E13" s="3" t="s">
        <v>48</v>
      </c>
      <c r="F13" s="3" t="s">
        <v>461</v>
      </c>
      <c r="G13" t="s">
        <v>55</v>
      </c>
      <c r="H13" s="67">
        <f t="shared" si="0"/>
        <v>3000</v>
      </c>
      <c r="I13" s="67">
        <f t="shared" si="0"/>
        <v>3000</v>
      </c>
      <c r="J13" s="67">
        <f t="shared" si="0"/>
        <v>3000</v>
      </c>
      <c r="K13" s="67">
        <f t="shared" si="0"/>
        <v>3000</v>
      </c>
      <c r="L13" s="705">
        <v>12000</v>
      </c>
      <c r="N13" s="206" t="s">
        <v>477</v>
      </c>
      <c r="P13" s="195">
        <f>INDEX('Apportionment Bases'!AK$6:AK$33,MATCH('PC17'!$N13,'Apportionment Bases'!$A$6:$A$33,0))</f>
        <v>0.48</v>
      </c>
      <c r="Q13" s="195">
        <f>INDEX('Apportionment Bases'!AL$6:AL$33,MATCH('PC17'!$N13,'Apportionment Bases'!$A$6:$A$33,0))</f>
        <v>0.375</v>
      </c>
      <c r="R13" s="195">
        <f>INDEX('Apportionment Bases'!AM$6:AM$33,MATCH('PC17'!$N13,'Apportionment Bases'!$A$6:$A$33,0))</f>
        <v>8.4000000000000005E-2</v>
      </c>
      <c r="S13" s="195">
        <f>INDEX('Apportionment Bases'!AN$6:AN$33,MATCH('PC17'!$N13,'Apportionment Bases'!$A$6:$A$33,0))</f>
        <v>3.0499999999999999E-2</v>
      </c>
      <c r="T13" s="195">
        <f>INDEX('Apportionment Bases'!AO$6:AO$33,MATCH('PC17'!$N13,'Apportionment Bases'!$A$6:$A$33,0))</f>
        <v>3.0499999999999999E-2</v>
      </c>
      <c r="U13" s="697"/>
      <c r="V13" s="72">
        <f t="shared" si="24"/>
        <v>5760</v>
      </c>
      <c r="W13" s="72">
        <f t="shared" si="1"/>
        <v>4500</v>
      </c>
      <c r="X13" s="72">
        <f t="shared" si="25"/>
        <v>1008.0000000000001</v>
      </c>
      <c r="Y13" s="72">
        <f t="shared" si="26"/>
        <v>366</v>
      </c>
      <c r="Z13" s="72">
        <f t="shared" si="27"/>
        <v>366</v>
      </c>
      <c r="AA13" s="272" t="str">
        <f t="shared" si="28"/>
        <v>TRUE</v>
      </c>
      <c r="AB13" s="5"/>
      <c r="AC13" s="93"/>
      <c r="AD13" s="93"/>
      <c r="AE13" s="93"/>
      <c r="AF13" s="93"/>
      <c r="AG13" s="93"/>
      <c r="AH13" s="301"/>
      <c r="AO13" s="72">
        <f t="shared" si="29"/>
        <v>3662.2080000000001</v>
      </c>
      <c r="AP13" s="72">
        <f t="shared" si="2"/>
        <v>4479.4212725695816</v>
      </c>
      <c r="AQ13" s="72">
        <f t="shared" si="3"/>
        <v>1008.0000000000001</v>
      </c>
      <c r="AR13" s="72">
        <f t="shared" si="4"/>
        <v>215.28119999999998</v>
      </c>
      <c r="AS13" s="72">
        <f t="shared" si="5"/>
        <v>366</v>
      </c>
      <c r="AT13" s="301"/>
      <c r="AU13" s="72">
        <f t="shared" si="6"/>
        <v>491.32800000000003</v>
      </c>
      <c r="AV13" s="72">
        <f t="shared" si="7"/>
        <v>4.6716076638019404</v>
      </c>
      <c r="AW13" s="72">
        <f t="shared" si="8"/>
        <v>0</v>
      </c>
      <c r="AX13" s="72">
        <f t="shared" si="30"/>
        <v>32.793599999999998</v>
      </c>
      <c r="AY13" s="72">
        <f t="shared" si="31"/>
        <v>0</v>
      </c>
      <c r="AZ13" s="301"/>
      <c r="BG13" s="72">
        <f t="shared" si="9"/>
        <v>852.4799999999999</v>
      </c>
      <c r="BH13" s="72">
        <f t="shared" si="10"/>
        <v>8.3379326657730832</v>
      </c>
      <c r="BI13" s="72">
        <f t="shared" si="11"/>
        <v>0</v>
      </c>
      <c r="BJ13" s="72">
        <f t="shared" si="12"/>
        <v>74.700599999999994</v>
      </c>
      <c r="BK13" s="72">
        <f t="shared" si="13"/>
        <v>0</v>
      </c>
      <c r="BL13" s="301"/>
      <c r="CE13" s="72">
        <f t="shared" si="14"/>
        <v>21.312000000000001</v>
      </c>
      <c r="CF13" s="72">
        <f t="shared" si="15"/>
        <v>0.23653709690136407</v>
      </c>
      <c r="CG13" s="72">
        <f t="shared" si="16"/>
        <v>0</v>
      </c>
      <c r="CH13" s="72">
        <f t="shared" si="17"/>
        <v>2.1593999999999998</v>
      </c>
      <c r="CI13" s="72">
        <f t="shared" si="18"/>
        <v>0</v>
      </c>
      <c r="CJ13" s="301"/>
      <c r="CK13" s="72">
        <f t="shared" si="19"/>
        <v>732.67200000000003</v>
      </c>
      <c r="CL13" s="72">
        <f t="shared" si="20"/>
        <v>7.3326500039422848</v>
      </c>
      <c r="CM13" s="72">
        <f t="shared" si="21"/>
        <v>0</v>
      </c>
      <c r="CN13" s="72">
        <f t="shared" si="22"/>
        <v>41.065199999999997</v>
      </c>
      <c r="CO13" s="72">
        <f t="shared" si="23"/>
        <v>0</v>
      </c>
      <c r="CP13" s="301"/>
    </row>
    <row r="14" spans="1:94" x14ac:dyDescent="0.25">
      <c r="A14" s="3" t="s">
        <v>246</v>
      </c>
      <c r="B14" s="3" t="s">
        <v>54</v>
      </c>
      <c r="C14" s="3" t="s">
        <v>45</v>
      </c>
      <c r="D14" s="3" t="s">
        <v>48</v>
      </c>
      <c r="E14" s="3" t="s">
        <v>48</v>
      </c>
      <c r="F14" s="3" t="s">
        <v>462</v>
      </c>
      <c r="G14" t="s">
        <v>55</v>
      </c>
      <c r="H14" s="67">
        <f t="shared" si="0"/>
        <v>750</v>
      </c>
      <c r="I14" s="67">
        <f t="shared" si="0"/>
        <v>750</v>
      </c>
      <c r="J14" s="67">
        <f t="shared" si="0"/>
        <v>750</v>
      </c>
      <c r="K14" s="67">
        <f t="shared" si="0"/>
        <v>750</v>
      </c>
      <c r="L14" s="705">
        <v>3000</v>
      </c>
      <c r="N14" s="206" t="s">
        <v>478</v>
      </c>
      <c r="P14" s="195">
        <f>INDEX('Apportionment Bases'!AK$6:AK$33,MATCH('PC17'!$N14,'Apportionment Bases'!$A$6:$A$33,0))</f>
        <v>0.1095</v>
      </c>
      <c r="Q14" s="195">
        <f>INDEX('Apportionment Bases'!AL$6:AL$33,MATCH('PC17'!$N14,'Apportionment Bases'!$A$6:$A$33,0))</f>
        <v>0.41525000000000001</v>
      </c>
      <c r="R14" s="195">
        <f>INDEX('Apportionment Bases'!AM$6:AM$33,MATCH('PC17'!$N14,'Apportionment Bases'!$A$6:$A$33,0))</f>
        <v>0.32724999999999999</v>
      </c>
      <c r="S14" s="195">
        <f>INDEX('Apportionment Bases'!AN$6:AN$33,MATCH('PC17'!$N14,'Apportionment Bases'!$A$6:$A$33,0))</f>
        <v>7.3999999999999996E-2</v>
      </c>
      <c r="T14" s="195">
        <f>INDEX('Apportionment Bases'!AO$6:AO$33,MATCH('PC17'!$N14,'Apportionment Bases'!$A$6:$A$33,0))</f>
        <v>7.3999999999999996E-2</v>
      </c>
      <c r="U14" s="697"/>
      <c r="V14" s="72">
        <f t="shared" si="24"/>
        <v>328.5</v>
      </c>
      <c r="W14" s="72">
        <f t="shared" si="1"/>
        <v>1245.75</v>
      </c>
      <c r="X14" s="72">
        <f t="shared" si="25"/>
        <v>981.75</v>
      </c>
      <c r="Y14" s="72">
        <f t="shared" si="26"/>
        <v>222</v>
      </c>
      <c r="Z14" s="72">
        <f t="shared" si="27"/>
        <v>222</v>
      </c>
      <c r="AA14" s="272" t="str">
        <f t="shared" si="28"/>
        <v>TRUE</v>
      </c>
      <c r="AB14" s="5"/>
      <c r="AC14" s="93"/>
      <c r="AD14" s="93"/>
      <c r="AE14" s="93"/>
      <c r="AF14" s="93"/>
      <c r="AG14" s="93"/>
      <c r="AH14" s="301"/>
      <c r="AO14" s="72">
        <f t="shared" si="29"/>
        <v>208.86030000000002</v>
      </c>
      <c r="AP14" s="72">
        <f t="shared" si="2"/>
        <v>1240.0531222896791</v>
      </c>
      <c r="AQ14" s="72">
        <f t="shared" si="3"/>
        <v>981.75</v>
      </c>
      <c r="AR14" s="72">
        <f t="shared" si="4"/>
        <v>130.5804</v>
      </c>
      <c r="AS14" s="72">
        <f t="shared" si="5"/>
        <v>222</v>
      </c>
      <c r="AT14" s="301"/>
      <c r="AU14" s="72">
        <f t="shared" si="6"/>
        <v>28.021049999999999</v>
      </c>
      <c r="AV14" s="72">
        <f t="shared" si="7"/>
        <v>1.2932567215958373</v>
      </c>
      <c r="AW14" s="72">
        <f t="shared" si="8"/>
        <v>0</v>
      </c>
      <c r="AX14" s="72">
        <f t="shared" si="30"/>
        <v>19.891200000000001</v>
      </c>
      <c r="AY14" s="72">
        <f t="shared" si="31"/>
        <v>0</v>
      </c>
      <c r="AZ14" s="301"/>
      <c r="BG14" s="72">
        <f t="shared" si="9"/>
        <v>48.617999999999995</v>
      </c>
      <c r="BH14" s="72">
        <f t="shared" si="10"/>
        <v>2.3082176929748481</v>
      </c>
      <c r="BI14" s="72">
        <f t="shared" si="11"/>
        <v>0</v>
      </c>
      <c r="BJ14" s="72">
        <f t="shared" si="12"/>
        <v>45.310200000000002</v>
      </c>
      <c r="BK14" s="72">
        <f t="shared" si="13"/>
        <v>0</v>
      </c>
      <c r="BL14" s="301"/>
      <c r="CE14" s="72">
        <f t="shared" si="14"/>
        <v>1.2154500000000001</v>
      </c>
      <c r="CF14" s="72">
        <f t="shared" si="15"/>
        <v>6.5481352992194278E-2</v>
      </c>
      <c r="CG14" s="72">
        <f t="shared" si="16"/>
        <v>0</v>
      </c>
      <c r="CH14" s="72">
        <f t="shared" si="17"/>
        <v>1.3098000000000001</v>
      </c>
      <c r="CI14" s="72">
        <f t="shared" si="18"/>
        <v>0</v>
      </c>
      <c r="CJ14" s="301"/>
      <c r="CK14" s="72">
        <f t="shared" si="19"/>
        <v>41.785200000000003</v>
      </c>
      <c r="CL14" s="72">
        <f t="shared" si="20"/>
        <v>2.0299219427580226</v>
      </c>
      <c r="CM14" s="72">
        <f t="shared" si="21"/>
        <v>0</v>
      </c>
      <c r="CN14" s="72">
        <f t="shared" si="22"/>
        <v>24.9084</v>
      </c>
      <c r="CO14" s="72">
        <f t="shared" si="23"/>
        <v>0</v>
      </c>
      <c r="CP14" s="301"/>
    </row>
    <row r="15" spans="1:94" x14ac:dyDescent="0.25">
      <c r="A15" s="3" t="s">
        <v>246</v>
      </c>
      <c r="B15" s="3" t="s">
        <v>56</v>
      </c>
      <c r="C15" s="3" t="s">
        <v>47</v>
      </c>
      <c r="D15" s="3" t="s">
        <v>48</v>
      </c>
      <c r="E15" s="3" t="s">
        <v>48</v>
      </c>
      <c r="F15" s="3" t="s">
        <v>463</v>
      </c>
      <c r="G15" t="s">
        <v>57</v>
      </c>
      <c r="H15" s="67">
        <f t="shared" si="0"/>
        <v>0</v>
      </c>
      <c r="I15" s="67">
        <f t="shared" si="0"/>
        <v>0</v>
      </c>
      <c r="J15" s="67">
        <f t="shared" si="0"/>
        <v>0</v>
      </c>
      <c r="K15" s="67">
        <f t="shared" si="0"/>
        <v>0</v>
      </c>
      <c r="L15" s="705">
        <v>0</v>
      </c>
      <c r="N15" s="206" t="s">
        <v>477</v>
      </c>
      <c r="P15" s="195">
        <f>INDEX('Apportionment Bases'!AK$6:AK$33,MATCH('PC17'!$N15,'Apportionment Bases'!$A$6:$A$33,0))</f>
        <v>0.48</v>
      </c>
      <c r="Q15" s="195">
        <f>INDEX('Apportionment Bases'!AL$6:AL$33,MATCH('PC17'!$N15,'Apportionment Bases'!$A$6:$A$33,0))</f>
        <v>0.375</v>
      </c>
      <c r="R15" s="195">
        <f>INDEX('Apportionment Bases'!AM$6:AM$33,MATCH('PC17'!$N15,'Apportionment Bases'!$A$6:$A$33,0))</f>
        <v>8.4000000000000005E-2</v>
      </c>
      <c r="S15" s="195">
        <f>INDEX('Apportionment Bases'!AN$6:AN$33,MATCH('PC17'!$N15,'Apportionment Bases'!$A$6:$A$33,0))</f>
        <v>3.0499999999999999E-2</v>
      </c>
      <c r="T15" s="195">
        <f>INDEX('Apportionment Bases'!AO$6:AO$33,MATCH('PC17'!$N15,'Apportionment Bases'!$A$6:$A$33,0))</f>
        <v>3.0499999999999999E-2</v>
      </c>
      <c r="U15" s="697"/>
      <c r="V15" s="72">
        <f t="shared" si="24"/>
        <v>0</v>
      </c>
      <c r="W15" s="72">
        <f t="shared" si="1"/>
        <v>0</v>
      </c>
      <c r="X15" s="72">
        <f t="shared" si="25"/>
        <v>0</v>
      </c>
      <c r="Y15" s="72">
        <f t="shared" si="26"/>
        <v>0</v>
      </c>
      <c r="Z15" s="72">
        <f t="shared" si="27"/>
        <v>0</v>
      </c>
      <c r="AA15" s="272" t="str">
        <f t="shared" si="28"/>
        <v>TRUE</v>
      </c>
      <c r="AH15" s="301"/>
      <c r="AO15" s="72">
        <f t="shared" si="29"/>
        <v>0</v>
      </c>
      <c r="AP15" s="72">
        <f t="shared" si="2"/>
        <v>0</v>
      </c>
      <c r="AQ15" s="72">
        <f t="shared" si="3"/>
        <v>0</v>
      </c>
      <c r="AR15" s="72">
        <f t="shared" si="4"/>
        <v>0</v>
      </c>
      <c r="AS15" s="72">
        <f t="shared" si="5"/>
        <v>0</v>
      </c>
      <c r="AT15" s="301"/>
      <c r="AU15" s="72">
        <f t="shared" si="6"/>
        <v>0</v>
      </c>
      <c r="AV15" s="72">
        <f t="shared" si="7"/>
        <v>0</v>
      </c>
      <c r="AW15" s="72">
        <f t="shared" si="8"/>
        <v>0</v>
      </c>
      <c r="AX15" s="72">
        <f t="shared" si="30"/>
        <v>0</v>
      </c>
      <c r="AY15" s="72">
        <f t="shared" si="31"/>
        <v>0</v>
      </c>
      <c r="AZ15" s="301"/>
      <c r="BG15" s="72">
        <f t="shared" si="9"/>
        <v>0</v>
      </c>
      <c r="BH15" s="72">
        <f t="shared" si="10"/>
        <v>0</v>
      </c>
      <c r="BI15" s="72">
        <f t="shared" si="11"/>
        <v>0</v>
      </c>
      <c r="BJ15" s="72">
        <f t="shared" si="12"/>
        <v>0</v>
      </c>
      <c r="BK15" s="72">
        <f t="shared" si="13"/>
        <v>0</v>
      </c>
      <c r="BL15" s="301"/>
      <c r="CE15" s="72">
        <f t="shared" si="14"/>
        <v>0</v>
      </c>
      <c r="CF15" s="72">
        <f t="shared" si="15"/>
        <v>0</v>
      </c>
      <c r="CG15" s="72">
        <f t="shared" si="16"/>
        <v>0</v>
      </c>
      <c r="CH15" s="72">
        <f t="shared" si="17"/>
        <v>0</v>
      </c>
      <c r="CI15" s="72">
        <f t="shared" si="18"/>
        <v>0</v>
      </c>
      <c r="CJ15" s="301"/>
      <c r="CK15" s="72">
        <f t="shared" si="19"/>
        <v>0</v>
      </c>
      <c r="CL15" s="72">
        <f t="shared" si="20"/>
        <v>0</v>
      </c>
      <c r="CM15" s="72">
        <f t="shared" si="21"/>
        <v>0</v>
      </c>
      <c r="CN15" s="72">
        <f t="shared" si="22"/>
        <v>0</v>
      </c>
      <c r="CO15" s="72">
        <f t="shared" si="23"/>
        <v>0</v>
      </c>
      <c r="CP15" s="301"/>
    </row>
    <row r="16" spans="1:94" x14ac:dyDescent="0.25">
      <c r="A16" s="3" t="s">
        <v>246</v>
      </c>
      <c r="B16" s="3" t="s">
        <v>56</v>
      </c>
      <c r="C16" s="3" t="s">
        <v>45</v>
      </c>
      <c r="D16" s="3" t="s">
        <v>48</v>
      </c>
      <c r="E16" s="3" t="s">
        <v>48</v>
      </c>
      <c r="F16" s="3" t="s">
        <v>464</v>
      </c>
      <c r="G16" t="s">
        <v>57</v>
      </c>
      <c r="H16" s="67">
        <f t="shared" si="0"/>
        <v>0</v>
      </c>
      <c r="I16" s="67">
        <f t="shared" si="0"/>
        <v>0</v>
      </c>
      <c r="J16" s="67">
        <f t="shared" si="0"/>
        <v>0</v>
      </c>
      <c r="K16" s="67">
        <f t="shared" si="0"/>
        <v>0</v>
      </c>
      <c r="L16" s="705">
        <v>0</v>
      </c>
      <c r="N16" s="206" t="s">
        <v>478</v>
      </c>
      <c r="P16" s="195">
        <f>INDEX('Apportionment Bases'!AK$6:AK$33,MATCH('PC17'!$N16,'Apportionment Bases'!$A$6:$A$33,0))</f>
        <v>0.1095</v>
      </c>
      <c r="Q16" s="195">
        <f>INDEX('Apportionment Bases'!AL$6:AL$33,MATCH('PC17'!$N16,'Apportionment Bases'!$A$6:$A$33,0))</f>
        <v>0.41525000000000001</v>
      </c>
      <c r="R16" s="195">
        <f>INDEX('Apportionment Bases'!AM$6:AM$33,MATCH('PC17'!$N16,'Apportionment Bases'!$A$6:$A$33,0))</f>
        <v>0.32724999999999999</v>
      </c>
      <c r="S16" s="195">
        <f>INDEX('Apportionment Bases'!AN$6:AN$33,MATCH('PC17'!$N16,'Apportionment Bases'!$A$6:$A$33,0))</f>
        <v>7.3999999999999996E-2</v>
      </c>
      <c r="T16" s="195">
        <f>INDEX('Apportionment Bases'!AO$6:AO$33,MATCH('PC17'!$N16,'Apportionment Bases'!$A$6:$A$33,0))</f>
        <v>7.3999999999999996E-2</v>
      </c>
      <c r="U16" s="697"/>
      <c r="V16" s="72">
        <f t="shared" si="24"/>
        <v>0</v>
      </c>
      <c r="W16" s="72">
        <f t="shared" si="1"/>
        <v>0</v>
      </c>
      <c r="X16" s="72">
        <f t="shared" si="25"/>
        <v>0</v>
      </c>
      <c r="Y16" s="72">
        <f t="shared" si="26"/>
        <v>0</v>
      </c>
      <c r="Z16" s="72">
        <f t="shared" si="27"/>
        <v>0</v>
      </c>
      <c r="AA16" s="272" t="str">
        <f t="shared" si="28"/>
        <v>TRUE</v>
      </c>
      <c r="AH16" s="301"/>
      <c r="AO16" s="72">
        <f t="shared" si="29"/>
        <v>0</v>
      </c>
      <c r="AP16" s="72">
        <f t="shared" si="2"/>
        <v>0</v>
      </c>
      <c r="AQ16" s="72">
        <f t="shared" si="3"/>
        <v>0</v>
      </c>
      <c r="AR16" s="72">
        <f t="shared" si="4"/>
        <v>0</v>
      </c>
      <c r="AS16" s="72">
        <f t="shared" si="5"/>
        <v>0</v>
      </c>
      <c r="AT16" s="301"/>
      <c r="AU16" s="72">
        <f t="shared" si="6"/>
        <v>0</v>
      </c>
      <c r="AV16" s="72">
        <f t="shared" si="7"/>
        <v>0</v>
      </c>
      <c r="AW16" s="72">
        <f t="shared" si="8"/>
        <v>0</v>
      </c>
      <c r="AX16" s="72">
        <f t="shared" si="30"/>
        <v>0</v>
      </c>
      <c r="AY16" s="72">
        <f t="shared" si="31"/>
        <v>0</v>
      </c>
      <c r="AZ16" s="301"/>
      <c r="BG16" s="72">
        <f t="shared" si="9"/>
        <v>0</v>
      </c>
      <c r="BH16" s="72">
        <f t="shared" si="10"/>
        <v>0</v>
      </c>
      <c r="BI16" s="72">
        <f t="shared" si="11"/>
        <v>0</v>
      </c>
      <c r="BJ16" s="72">
        <f t="shared" si="12"/>
        <v>0</v>
      </c>
      <c r="BK16" s="72">
        <f t="shared" si="13"/>
        <v>0</v>
      </c>
      <c r="BL16" s="301"/>
      <c r="CE16" s="72">
        <f t="shared" si="14"/>
        <v>0</v>
      </c>
      <c r="CF16" s="72">
        <f t="shared" si="15"/>
        <v>0</v>
      </c>
      <c r="CG16" s="72">
        <f t="shared" si="16"/>
        <v>0</v>
      </c>
      <c r="CH16" s="72">
        <f t="shared" si="17"/>
        <v>0</v>
      </c>
      <c r="CI16" s="72">
        <f t="shared" si="18"/>
        <v>0</v>
      </c>
      <c r="CJ16" s="301"/>
      <c r="CK16" s="72">
        <f t="shared" si="19"/>
        <v>0</v>
      </c>
      <c r="CL16" s="72">
        <f t="shared" si="20"/>
        <v>0</v>
      </c>
      <c r="CM16" s="72">
        <f t="shared" si="21"/>
        <v>0</v>
      </c>
      <c r="CN16" s="72">
        <f t="shared" si="22"/>
        <v>0</v>
      </c>
      <c r="CO16" s="72">
        <f t="shared" si="23"/>
        <v>0</v>
      </c>
      <c r="CP16" s="301"/>
    </row>
    <row r="17" spans="1:94" x14ac:dyDescent="0.25">
      <c r="A17" s="3" t="s">
        <v>246</v>
      </c>
      <c r="B17" s="3" t="s">
        <v>58</v>
      </c>
      <c r="C17" s="3" t="s">
        <v>45</v>
      </c>
      <c r="D17" s="3" t="s">
        <v>48</v>
      </c>
      <c r="E17" s="3" t="s">
        <v>48</v>
      </c>
      <c r="F17" s="3" t="s">
        <v>465</v>
      </c>
      <c r="G17" t="s">
        <v>59</v>
      </c>
      <c r="H17" s="67">
        <f t="shared" si="0"/>
        <v>0</v>
      </c>
      <c r="I17" s="67">
        <f t="shared" si="0"/>
        <v>0</v>
      </c>
      <c r="J17" s="67">
        <f t="shared" si="0"/>
        <v>0</v>
      </c>
      <c r="K17" s="67">
        <f t="shared" si="0"/>
        <v>0</v>
      </c>
      <c r="L17" s="705">
        <v>0</v>
      </c>
      <c r="N17" s="206" t="s">
        <v>532</v>
      </c>
      <c r="P17" s="195">
        <f>INDEX('Apportionment Bases'!AK$6:AK$33,MATCH('PC17'!$N17,'Apportionment Bases'!$A$6:$A$33,0))</f>
        <v>0.1095</v>
      </c>
      <c r="Q17" s="195">
        <f>INDEX('Apportionment Bases'!AL$6:AL$33,MATCH('PC17'!$N17,'Apportionment Bases'!$A$6:$A$33,0))</f>
        <v>0.41525000000000001</v>
      </c>
      <c r="R17" s="195">
        <f>INDEX('Apportionment Bases'!AM$6:AM$33,MATCH('PC17'!$N17,'Apportionment Bases'!$A$6:$A$33,0))</f>
        <v>0.32724999999999999</v>
      </c>
      <c r="S17" s="195">
        <f>INDEX('Apportionment Bases'!AN$6:AN$33,MATCH('PC17'!$N17,'Apportionment Bases'!$A$6:$A$33,0))</f>
        <v>7.3999999999999996E-2</v>
      </c>
      <c r="T17" s="195">
        <f>INDEX('Apportionment Bases'!AO$6:AO$33,MATCH('PC17'!$N17,'Apportionment Bases'!$A$6:$A$33,0))</f>
        <v>7.3999999999999996E-2</v>
      </c>
      <c r="U17" s="697"/>
      <c r="V17" s="72">
        <f t="shared" si="24"/>
        <v>0</v>
      </c>
      <c r="W17" s="72">
        <f t="shared" si="1"/>
        <v>0</v>
      </c>
      <c r="X17" s="72">
        <f t="shared" si="25"/>
        <v>0</v>
      </c>
      <c r="Y17" s="72">
        <f t="shared" si="26"/>
        <v>0</v>
      </c>
      <c r="Z17" s="72">
        <f t="shared" si="27"/>
        <v>0</v>
      </c>
      <c r="AA17" s="272" t="str">
        <f t="shared" si="28"/>
        <v>TRUE</v>
      </c>
      <c r="AH17" s="301"/>
      <c r="AO17" s="72">
        <f t="shared" si="29"/>
        <v>0</v>
      </c>
      <c r="AP17" s="72">
        <f t="shared" si="2"/>
        <v>0</v>
      </c>
      <c r="AQ17" s="72">
        <f t="shared" si="3"/>
        <v>0</v>
      </c>
      <c r="AR17" s="72">
        <f t="shared" si="4"/>
        <v>0</v>
      </c>
      <c r="AS17" s="72">
        <f t="shared" si="5"/>
        <v>0</v>
      </c>
      <c r="AT17" s="301"/>
      <c r="AU17" s="72">
        <f t="shared" si="6"/>
        <v>0</v>
      </c>
      <c r="AV17" s="72">
        <f t="shared" si="7"/>
        <v>0</v>
      </c>
      <c r="AW17" s="72">
        <f t="shared" si="8"/>
        <v>0</v>
      </c>
      <c r="AX17" s="72">
        <f t="shared" si="30"/>
        <v>0</v>
      </c>
      <c r="AY17" s="72">
        <f t="shared" si="31"/>
        <v>0</v>
      </c>
      <c r="AZ17" s="301"/>
      <c r="BG17" s="72">
        <f t="shared" si="9"/>
        <v>0</v>
      </c>
      <c r="BH17" s="72">
        <f t="shared" si="10"/>
        <v>0</v>
      </c>
      <c r="BI17" s="72">
        <f t="shared" si="11"/>
        <v>0</v>
      </c>
      <c r="BJ17" s="72">
        <f t="shared" si="12"/>
        <v>0</v>
      </c>
      <c r="BK17" s="72">
        <f t="shared" si="13"/>
        <v>0</v>
      </c>
      <c r="BL17" s="301"/>
      <c r="CE17" s="72">
        <f t="shared" si="14"/>
        <v>0</v>
      </c>
      <c r="CF17" s="72">
        <f t="shared" si="15"/>
        <v>0</v>
      </c>
      <c r="CG17" s="72">
        <f t="shared" si="16"/>
        <v>0</v>
      </c>
      <c r="CH17" s="72">
        <f t="shared" si="17"/>
        <v>0</v>
      </c>
      <c r="CI17" s="72">
        <f t="shared" si="18"/>
        <v>0</v>
      </c>
      <c r="CJ17" s="301"/>
      <c r="CK17" s="72">
        <f t="shared" si="19"/>
        <v>0</v>
      </c>
      <c r="CL17" s="72">
        <f t="shared" si="20"/>
        <v>0</v>
      </c>
      <c r="CM17" s="72">
        <f t="shared" si="21"/>
        <v>0</v>
      </c>
      <c r="CN17" s="72">
        <f t="shared" si="22"/>
        <v>0</v>
      </c>
      <c r="CO17" s="72">
        <f t="shared" si="23"/>
        <v>0</v>
      </c>
      <c r="CP17" s="301"/>
    </row>
    <row r="18" spans="1:94" x14ac:dyDescent="0.25">
      <c r="A18" s="3" t="s">
        <v>246</v>
      </c>
      <c r="B18" s="3" t="s">
        <v>60</v>
      </c>
      <c r="C18" s="3" t="s">
        <v>47</v>
      </c>
      <c r="D18" s="3" t="s">
        <v>48</v>
      </c>
      <c r="E18" s="3" t="s">
        <v>48</v>
      </c>
      <c r="F18" s="3" t="s">
        <v>467</v>
      </c>
      <c r="G18" t="s">
        <v>61</v>
      </c>
      <c r="H18" s="67">
        <f t="shared" si="0"/>
        <v>284122.25</v>
      </c>
      <c r="I18" s="67">
        <f t="shared" si="0"/>
        <v>284122.25</v>
      </c>
      <c r="J18" s="67">
        <f t="shared" si="0"/>
        <v>284122.25</v>
      </c>
      <c r="K18" s="67">
        <f t="shared" si="0"/>
        <v>284122.25</v>
      </c>
      <c r="L18" s="705">
        <v>1136489</v>
      </c>
      <c r="N18" s="206" t="s">
        <v>479</v>
      </c>
      <c r="P18" s="195">
        <f>INDEX('Apportionment Bases'!AK$6:AK$33,MATCH('PC17'!$N18,'Apportionment Bases'!$A$6:$A$33,0))</f>
        <v>0.48</v>
      </c>
      <c r="Q18" s="195">
        <f>INDEX('Apportionment Bases'!AL$6:AL$33,MATCH('PC17'!$N18,'Apportionment Bases'!$A$6:$A$33,0))</f>
        <v>0.375</v>
      </c>
      <c r="R18" s="195">
        <f>INDEX('Apportionment Bases'!AM$6:AM$33,MATCH('PC17'!$N18,'Apportionment Bases'!$A$6:$A$33,0))</f>
        <v>8.4000000000000005E-2</v>
      </c>
      <c r="S18" s="195">
        <f>INDEX('Apportionment Bases'!AN$6:AN$33,MATCH('PC17'!$N18,'Apportionment Bases'!$A$6:$A$33,0))</f>
        <v>3.0499999999999999E-2</v>
      </c>
      <c r="T18" s="195">
        <f>INDEX('Apportionment Bases'!AO$6:AO$33,MATCH('PC17'!$N18,'Apportionment Bases'!$A$6:$A$33,0))</f>
        <v>3.0499999999999999E-2</v>
      </c>
      <c r="U18" s="697"/>
      <c r="V18" s="72">
        <f t="shared" si="24"/>
        <v>545514.72</v>
      </c>
      <c r="W18" s="72">
        <f t="shared" si="1"/>
        <v>426183.375</v>
      </c>
      <c r="X18" s="72">
        <f t="shared" si="25"/>
        <v>95465.076000000001</v>
      </c>
      <c r="Y18" s="72">
        <f t="shared" si="26"/>
        <v>34662.914499999999</v>
      </c>
      <c r="Z18" s="72">
        <f t="shared" si="27"/>
        <v>34662.914499999999</v>
      </c>
      <c r="AA18" s="272" t="str">
        <f t="shared" si="28"/>
        <v>TRUE</v>
      </c>
      <c r="AH18" s="301"/>
      <c r="AO18" s="72">
        <f t="shared" si="29"/>
        <v>346838.25897600001</v>
      </c>
      <c r="AP18" s="72">
        <f t="shared" si="2"/>
        <v>424234.41688677756</v>
      </c>
      <c r="AQ18" s="72">
        <f t="shared" si="3"/>
        <v>95465.076000000001</v>
      </c>
      <c r="AR18" s="72">
        <f t="shared" si="4"/>
        <v>20388.726308899997</v>
      </c>
      <c r="AS18" s="72">
        <f t="shared" si="5"/>
        <v>34662.914499999999</v>
      </c>
      <c r="AT18" s="301"/>
      <c r="AU18" s="72">
        <f t="shared" si="6"/>
        <v>46532.405615999996</v>
      </c>
      <c r="AV18" s="72">
        <f t="shared" si="7"/>
        <v>442.43589351888363</v>
      </c>
      <c r="AW18" s="72">
        <f t="shared" si="8"/>
        <v>0</v>
      </c>
      <c r="AX18" s="72">
        <f t="shared" si="30"/>
        <v>3105.7971391999999</v>
      </c>
      <c r="AY18" s="72">
        <f t="shared" si="31"/>
        <v>0</v>
      </c>
      <c r="AZ18" s="301"/>
      <c r="BG18" s="72">
        <f t="shared" si="9"/>
        <v>80736.178559999986</v>
      </c>
      <c r="BH18" s="72">
        <f t="shared" si="10"/>
        <v>789.664063115982</v>
      </c>
      <c r="BI18" s="72">
        <f t="shared" si="11"/>
        <v>0</v>
      </c>
      <c r="BJ18" s="72">
        <f t="shared" si="12"/>
        <v>7074.7008494499996</v>
      </c>
      <c r="BK18" s="72">
        <f t="shared" si="13"/>
        <v>0</v>
      </c>
      <c r="BL18" s="301"/>
      <c r="CE18" s="72">
        <f t="shared" si="14"/>
        <v>2018.404464</v>
      </c>
      <c r="CF18" s="72">
        <f t="shared" si="15"/>
        <v>22.401817393361195</v>
      </c>
      <c r="CG18" s="72">
        <f t="shared" si="16"/>
        <v>0</v>
      </c>
      <c r="CH18" s="72">
        <f t="shared" si="17"/>
        <v>204.51119555</v>
      </c>
      <c r="CI18" s="72">
        <f t="shared" si="18"/>
        <v>0</v>
      </c>
      <c r="CJ18" s="301"/>
      <c r="CK18" s="72">
        <f t="shared" si="19"/>
        <v>69389.472383999993</v>
      </c>
      <c r="CL18" s="72">
        <f t="shared" si="20"/>
        <v>694.45633919419697</v>
      </c>
      <c r="CM18" s="72">
        <f t="shared" si="21"/>
        <v>0</v>
      </c>
      <c r="CN18" s="72">
        <f t="shared" si="22"/>
        <v>3889.1790068999999</v>
      </c>
      <c r="CO18" s="72">
        <f t="shared" si="23"/>
        <v>0</v>
      </c>
      <c r="CP18" s="301"/>
    </row>
    <row r="19" spans="1:94" x14ac:dyDescent="0.25">
      <c r="A19" s="3" t="s">
        <v>246</v>
      </c>
      <c r="B19" s="3" t="s">
        <v>60</v>
      </c>
      <c r="C19" s="3" t="s">
        <v>45</v>
      </c>
      <c r="D19" s="3" t="s">
        <v>48</v>
      </c>
      <c r="E19" s="3" t="s">
        <v>48</v>
      </c>
      <c r="F19" s="3" t="s">
        <v>468</v>
      </c>
      <c r="G19" t="s">
        <v>61</v>
      </c>
      <c r="H19" s="67">
        <f t="shared" si="0"/>
        <v>50621.75</v>
      </c>
      <c r="I19" s="67">
        <f t="shared" si="0"/>
        <v>50621.75</v>
      </c>
      <c r="J19" s="67">
        <f t="shared" si="0"/>
        <v>50621.75</v>
      </c>
      <c r="K19" s="67">
        <f t="shared" si="0"/>
        <v>50621.75</v>
      </c>
      <c r="L19" s="705">
        <v>202487</v>
      </c>
      <c r="N19" s="206" t="s">
        <v>480</v>
      </c>
      <c r="P19" s="195">
        <f>INDEX('Apportionment Bases'!AK$6:AK$33,MATCH('PC17'!$N19,'Apportionment Bases'!$A$6:$A$33,0))</f>
        <v>0.1095</v>
      </c>
      <c r="Q19" s="195">
        <f>INDEX('Apportionment Bases'!AL$6:AL$33,MATCH('PC17'!$N19,'Apportionment Bases'!$A$6:$A$33,0))</f>
        <v>0.41525000000000001</v>
      </c>
      <c r="R19" s="195">
        <f>INDEX('Apportionment Bases'!AM$6:AM$33,MATCH('PC17'!$N19,'Apportionment Bases'!$A$6:$A$33,0))</f>
        <v>0.32724999999999999</v>
      </c>
      <c r="S19" s="195">
        <f>INDEX('Apportionment Bases'!AN$6:AN$33,MATCH('PC17'!$N19,'Apportionment Bases'!$A$6:$A$33,0))</f>
        <v>7.3999999999999996E-2</v>
      </c>
      <c r="T19" s="195">
        <f>INDEX('Apportionment Bases'!AO$6:AO$33,MATCH('PC17'!$N19,'Apportionment Bases'!$A$6:$A$33,0))</f>
        <v>7.3999999999999996E-2</v>
      </c>
      <c r="U19" s="697"/>
      <c r="V19" s="72">
        <f t="shared" si="24"/>
        <v>22172.326499999999</v>
      </c>
      <c r="W19" s="72">
        <f t="shared" si="1"/>
        <v>84082.726750000002</v>
      </c>
      <c r="X19" s="72">
        <f t="shared" si="25"/>
        <v>66263.870750000002</v>
      </c>
      <c r="Y19" s="72">
        <f t="shared" si="26"/>
        <v>14984.037999999999</v>
      </c>
      <c r="Z19" s="72">
        <f t="shared" si="27"/>
        <v>14984.037999999999</v>
      </c>
      <c r="AA19" s="272" t="str">
        <f t="shared" si="28"/>
        <v>TRUE</v>
      </c>
      <c r="AH19" s="301"/>
      <c r="AO19" s="72">
        <f t="shared" si="29"/>
        <v>14097.165188700001</v>
      </c>
      <c r="AP19" s="72">
        <f t="shared" si="2"/>
        <v>83698.212191023413</v>
      </c>
      <c r="AQ19" s="72">
        <f t="shared" si="3"/>
        <v>66263.870750000002</v>
      </c>
      <c r="AR19" s="72">
        <f t="shared" si="4"/>
        <v>8813.6111515999983</v>
      </c>
      <c r="AS19" s="72">
        <f t="shared" si="5"/>
        <v>14984.037999999999</v>
      </c>
      <c r="AT19" s="301"/>
      <c r="AU19" s="72">
        <f t="shared" si="6"/>
        <v>1891.29945045</v>
      </c>
      <c r="AV19" s="72">
        <f t="shared" si="7"/>
        <v>87.289224595258759</v>
      </c>
      <c r="AW19" s="72">
        <f t="shared" si="8"/>
        <v>0</v>
      </c>
      <c r="AX19" s="72">
        <f t="shared" si="30"/>
        <v>1342.5698047999999</v>
      </c>
      <c r="AY19" s="72">
        <f t="shared" si="31"/>
        <v>0</v>
      </c>
      <c r="AZ19" s="301"/>
      <c r="BG19" s="72">
        <f t="shared" si="9"/>
        <v>3281.5043219999998</v>
      </c>
      <c r="BH19" s="72">
        <f t="shared" si="10"/>
        <v>155.79469199913271</v>
      </c>
      <c r="BI19" s="72">
        <f t="shared" si="11"/>
        <v>0</v>
      </c>
      <c r="BJ19" s="72">
        <f t="shared" si="12"/>
        <v>3058.2421557999996</v>
      </c>
      <c r="BK19" s="72">
        <f t="shared" si="13"/>
        <v>0</v>
      </c>
      <c r="BL19" s="301"/>
      <c r="CE19" s="72">
        <f t="shared" si="14"/>
        <v>82.037608050000003</v>
      </c>
      <c r="CF19" s="72">
        <f t="shared" si="15"/>
        <v>4.4197075744434811</v>
      </c>
      <c r="CG19" s="72">
        <f t="shared" si="16"/>
        <v>0</v>
      </c>
      <c r="CH19" s="72">
        <f t="shared" si="17"/>
        <v>88.405824199999984</v>
      </c>
      <c r="CI19" s="72">
        <f t="shared" si="18"/>
        <v>0</v>
      </c>
      <c r="CJ19" s="301"/>
      <c r="CK19" s="72">
        <f t="shared" si="19"/>
        <v>2820.3199308000003</v>
      </c>
      <c r="CL19" s="72">
        <f t="shared" si="20"/>
        <v>137.0109348077479</v>
      </c>
      <c r="CM19" s="72">
        <f t="shared" si="21"/>
        <v>0</v>
      </c>
      <c r="CN19" s="72">
        <f t="shared" si="22"/>
        <v>1681.2090635999998</v>
      </c>
      <c r="CO19" s="72">
        <f t="shared" si="23"/>
        <v>0</v>
      </c>
      <c r="CP19" s="301"/>
    </row>
    <row r="20" spans="1:94" x14ac:dyDescent="0.25">
      <c r="A20" s="3" t="s">
        <v>246</v>
      </c>
      <c r="B20" s="3" t="s">
        <v>62</v>
      </c>
      <c r="C20" s="3" t="s">
        <v>47</v>
      </c>
      <c r="D20" s="3" t="s">
        <v>48</v>
      </c>
      <c r="E20" s="3" t="s">
        <v>48</v>
      </c>
      <c r="F20" s="3" t="s">
        <v>469</v>
      </c>
      <c r="G20" t="s">
        <v>63</v>
      </c>
      <c r="H20" s="67">
        <f t="shared" si="0"/>
        <v>5833.25</v>
      </c>
      <c r="I20" s="67">
        <f t="shared" si="0"/>
        <v>5833.25</v>
      </c>
      <c r="J20" s="67">
        <f t="shared" si="0"/>
        <v>5833.25</v>
      </c>
      <c r="K20" s="67">
        <f t="shared" si="0"/>
        <v>5833.25</v>
      </c>
      <c r="L20" s="705">
        <v>23333</v>
      </c>
      <c r="N20" s="206" t="s">
        <v>705</v>
      </c>
      <c r="P20" s="195">
        <f>INDEX('Apportionment Bases'!AK$6:AK$33,MATCH('PC17'!$N20,'Apportionment Bases'!$A$6:$A$33,0))</f>
        <v>0</v>
      </c>
      <c r="Q20" s="195">
        <f>INDEX('Apportionment Bases'!AL$6:AL$33,MATCH('PC17'!$N20,'Apportionment Bases'!$A$6:$A$33,0))</f>
        <v>0</v>
      </c>
      <c r="R20" s="195">
        <f>INDEX('Apportionment Bases'!AM$6:AM$33,MATCH('PC17'!$N20,'Apportionment Bases'!$A$6:$A$33,0))</f>
        <v>0</v>
      </c>
      <c r="S20" s="195">
        <f>INDEX('Apportionment Bases'!AN$6:AN$33,MATCH('PC17'!$N20,'Apportionment Bases'!$A$6:$A$33,0))</f>
        <v>0.5</v>
      </c>
      <c r="T20" s="195">
        <f>INDEX('Apportionment Bases'!AO$6:AO$33,MATCH('PC17'!$N20,'Apportionment Bases'!$A$6:$A$33,0))</f>
        <v>0.5</v>
      </c>
      <c r="U20" s="697"/>
      <c r="V20" s="72">
        <f t="shared" si="24"/>
        <v>0</v>
      </c>
      <c r="W20" s="72">
        <f t="shared" si="1"/>
        <v>0</v>
      </c>
      <c r="X20" s="72">
        <f t="shared" si="25"/>
        <v>0</v>
      </c>
      <c r="Y20" s="72">
        <f t="shared" si="26"/>
        <v>11666.5</v>
      </c>
      <c r="Z20" s="72">
        <f t="shared" si="27"/>
        <v>11666.5</v>
      </c>
      <c r="AA20" s="273" t="str">
        <f t="shared" si="28"/>
        <v>TRUE</v>
      </c>
      <c r="AH20" s="301"/>
      <c r="AO20" s="72">
        <f t="shared" si="29"/>
        <v>0</v>
      </c>
      <c r="AP20" s="72">
        <f t="shared" si="2"/>
        <v>0</v>
      </c>
      <c r="AQ20" s="72">
        <f t="shared" si="3"/>
        <v>0</v>
      </c>
      <c r="AR20" s="72">
        <f t="shared" si="4"/>
        <v>6862.2352999999994</v>
      </c>
      <c r="AS20" s="72">
        <f t="shared" si="5"/>
        <v>11666.5</v>
      </c>
      <c r="AT20" s="301"/>
      <c r="AU20" s="72">
        <f t="shared" si="6"/>
        <v>0</v>
      </c>
      <c r="AV20" s="72">
        <f t="shared" si="7"/>
        <v>0</v>
      </c>
      <c r="AW20" s="72">
        <f t="shared" si="8"/>
        <v>0</v>
      </c>
      <c r="AX20" s="72">
        <f t="shared" si="30"/>
        <v>1045.3183999999999</v>
      </c>
      <c r="AY20" s="72">
        <f t="shared" si="31"/>
        <v>0</v>
      </c>
      <c r="AZ20" s="301"/>
      <c r="BG20" s="72">
        <f t="shared" si="9"/>
        <v>0</v>
      </c>
      <c r="BH20" s="72">
        <f t="shared" si="10"/>
        <v>0</v>
      </c>
      <c r="BI20" s="72">
        <f t="shared" si="11"/>
        <v>0</v>
      </c>
      <c r="BJ20" s="72">
        <f t="shared" si="12"/>
        <v>2381.13265</v>
      </c>
      <c r="BK20" s="72">
        <f t="shared" si="13"/>
        <v>0</v>
      </c>
      <c r="BL20" s="301"/>
      <c r="CE20" s="72">
        <f t="shared" si="14"/>
        <v>0</v>
      </c>
      <c r="CF20" s="72">
        <f t="shared" si="15"/>
        <v>0</v>
      </c>
      <c r="CG20" s="72">
        <f t="shared" si="16"/>
        <v>0</v>
      </c>
      <c r="CH20" s="72">
        <f t="shared" si="17"/>
        <v>68.832350000000005</v>
      </c>
      <c r="CI20" s="72">
        <f t="shared" si="18"/>
        <v>0</v>
      </c>
      <c r="CJ20" s="301"/>
      <c r="CK20" s="72">
        <f t="shared" si="19"/>
        <v>0</v>
      </c>
      <c r="CL20" s="72">
        <f t="shared" si="20"/>
        <v>0</v>
      </c>
      <c r="CM20" s="72">
        <f t="shared" si="21"/>
        <v>0</v>
      </c>
      <c r="CN20" s="72">
        <f t="shared" si="22"/>
        <v>1308.9812999999999</v>
      </c>
      <c r="CO20" s="72">
        <f t="shared" si="23"/>
        <v>0</v>
      </c>
      <c r="CP20" s="301"/>
    </row>
    <row r="21" spans="1:94" ht="15.75" thickBot="1" x14ac:dyDescent="0.3">
      <c r="A21" s="27"/>
      <c r="B21" s="27"/>
      <c r="C21" s="27"/>
      <c r="D21" s="27"/>
      <c r="E21" s="27"/>
      <c r="F21" s="27"/>
      <c r="G21" s="28" t="s">
        <v>64</v>
      </c>
      <c r="H21" s="29"/>
      <c r="I21" s="28"/>
      <c r="J21" s="28"/>
      <c r="K21" s="28"/>
      <c r="L21" s="706">
        <f>SUM(L7:L20)</f>
        <v>3221203</v>
      </c>
      <c r="M21" s="28"/>
      <c r="N21" s="28"/>
      <c r="O21" s="28"/>
      <c r="P21" s="200"/>
      <c r="Q21" s="200"/>
      <c r="R21" s="200"/>
      <c r="S21" s="200"/>
      <c r="T21" s="200"/>
      <c r="U21" s="28"/>
      <c r="V21" s="29">
        <f>SUM(V7:V20)</f>
        <v>1357663.71</v>
      </c>
      <c r="W21" s="29">
        <f t="shared" ref="W21:Z21" si="34">SUM(W7:W20)</f>
        <v>1218464.095</v>
      </c>
      <c r="X21" s="29">
        <f t="shared" si="34"/>
        <v>385035.66500000004</v>
      </c>
      <c r="Y21" s="29">
        <f t="shared" si="34"/>
        <v>130019.765</v>
      </c>
      <c r="Z21" s="29">
        <f t="shared" si="34"/>
        <v>130019.765</v>
      </c>
      <c r="AA21" s="268"/>
      <c r="AB21" s="28" t="s">
        <v>187</v>
      </c>
      <c r="AC21" s="179">
        <f>SUM(AC7:AC20)</f>
        <v>1.0000000000000002</v>
      </c>
      <c r="AD21" s="179">
        <f t="shared" ref="AD21:AG21" si="35">SUM(AD7:AD20)</f>
        <v>0.99999999999999989</v>
      </c>
      <c r="AE21" s="179">
        <f t="shared" si="35"/>
        <v>1</v>
      </c>
      <c r="AF21" s="179">
        <f t="shared" si="35"/>
        <v>0.99999999999999989</v>
      </c>
      <c r="AG21" s="179">
        <f t="shared" si="35"/>
        <v>1</v>
      </c>
      <c r="AH21" s="306"/>
      <c r="AI21" s="28"/>
      <c r="AJ21" s="28"/>
      <c r="AK21" s="28"/>
      <c r="AL21" s="28"/>
      <c r="AM21" s="28"/>
      <c r="AN21" s="28"/>
      <c r="AO21" s="29">
        <f t="shared" ref="AO21:AS21" si="36">SUM(AO7:AO20)</f>
        <v>863202.58681800007</v>
      </c>
      <c r="AP21" s="29">
        <f t="shared" si="36"/>
        <v>1212891.9971122763</v>
      </c>
      <c r="AQ21" s="29">
        <f t="shared" si="36"/>
        <v>385035.66500000004</v>
      </c>
      <c r="AR21" s="29">
        <f t="shared" si="36"/>
        <v>76477.625772999992</v>
      </c>
      <c r="AS21" s="29">
        <f t="shared" si="36"/>
        <v>130019.765</v>
      </c>
      <c r="AT21" s="306"/>
      <c r="AU21" s="29">
        <f t="shared" ref="AU21:AX21" si="37">SUM(AU7:AU20)</f>
        <v>115808.71446299998</v>
      </c>
      <c r="AV21" s="29">
        <f t="shared" si="37"/>
        <v>1264.9302676154434</v>
      </c>
      <c r="AW21" s="29">
        <f t="shared" si="37"/>
        <v>0</v>
      </c>
      <c r="AX21" s="29">
        <f t="shared" si="37"/>
        <v>11649.770944</v>
      </c>
      <c r="AY21" s="29">
        <f t="shared" ref="AY21" si="38">SUM(AY7:AY20)</f>
        <v>0</v>
      </c>
      <c r="AZ21" s="303">
        <f t="shared" ref="AZ21" si="39">SUM(AZ7:AZ20)</f>
        <v>0</v>
      </c>
      <c r="BA21" s="29">
        <f t="shared" ref="BA21" si="40">SUM(BA7:BA20)</f>
        <v>0</v>
      </c>
      <c r="BB21" s="29">
        <f t="shared" ref="BB21" si="41">SUM(BB7:BB20)</f>
        <v>0</v>
      </c>
      <c r="BC21" s="29">
        <f t="shared" ref="BC21" si="42">SUM(BC7:BC20)</f>
        <v>0</v>
      </c>
      <c r="BD21" s="29">
        <f t="shared" ref="BD21" si="43">SUM(BD7:BD20)</f>
        <v>0</v>
      </c>
      <c r="BE21" s="29">
        <f t="shared" ref="BE21" si="44">SUM(BE7:BE20)</f>
        <v>0</v>
      </c>
      <c r="BF21" s="29">
        <f t="shared" ref="BF21:BJ21" si="45">SUM(BF7:BF20)</f>
        <v>0</v>
      </c>
      <c r="BG21" s="29">
        <f t="shared" si="45"/>
        <v>200934.22907999999</v>
      </c>
      <c r="BH21" s="29">
        <f t="shared" si="45"/>
        <v>2257.6603510604746</v>
      </c>
      <c r="BI21" s="29">
        <f t="shared" si="45"/>
        <v>0</v>
      </c>
      <c r="BJ21" s="29">
        <f t="shared" si="45"/>
        <v>26537.034036499997</v>
      </c>
      <c r="BK21" s="29">
        <f t="shared" ref="BK21" si="46">SUM(BK7:BK20)</f>
        <v>0</v>
      </c>
      <c r="BL21" s="303"/>
      <c r="BM21" s="29">
        <f t="shared" ref="BM21" si="47">SUM(BM7:BM20)</f>
        <v>0</v>
      </c>
      <c r="BN21" s="29">
        <f t="shared" ref="BN21" si="48">SUM(BN7:BN20)</f>
        <v>0</v>
      </c>
      <c r="BO21" s="29">
        <f t="shared" ref="BO21" si="49">SUM(BO7:BO20)</f>
        <v>0</v>
      </c>
      <c r="BP21" s="29">
        <f t="shared" ref="BP21" si="50">SUM(BP7:BP20)</f>
        <v>0</v>
      </c>
      <c r="BQ21" s="29">
        <f t="shared" ref="BQ21" si="51">SUM(BQ7:BQ20)</f>
        <v>0</v>
      </c>
      <c r="BR21" s="29">
        <f t="shared" ref="BR21" si="52">SUM(BR7:BR20)</f>
        <v>0</v>
      </c>
      <c r="BS21" s="29">
        <f t="shared" ref="BS21" si="53">SUM(BS7:BS20)</f>
        <v>0</v>
      </c>
      <c r="BT21" s="29">
        <f t="shared" ref="BT21" si="54">SUM(BT7:BT20)</f>
        <v>0</v>
      </c>
      <c r="BU21" s="29">
        <f t="shared" ref="BU21" si="55">SUM(BU7:BU20)</f>
        <v>0</v>
      </c>
      <c r="BV21" s="29">
        <f t="shared" ref="BV21" si="56">SUM(BV7:BV20)</f>
        <v>0</v>
      </c>
      <c r="BW21" s="29">
        <f t="shared" ref="BW21" si="57">SUM(BW7:BW20)</f>
        <v>0</v>
      </c>
      <c r="BX21" s="29">
        <f t="shared" ref="BX21" si="58">SUM(BX7:BX20)</f>
        <v>0</v>
      </c>
      <c r="BY21" s="29">
        <f t="shared" ref="BY21" si="59">SUM(BY7:BY20)</f>
        <v>0</v>
      </c>
      <c r="BZ21" s="29">
        <f t="shared" ref="BZ21" si="60">SUM(BZ7:BZ20)</f>
        <v>0</v>
      </c>
      <c r="CA21" s="29">
        <f t="shared" ref="CA21" si="61">SUM(CA7:CA20)</f>
        <v>0</v>
      </c>
      <c r="CB21" s="29">
        <f t="shared" ref="CB21" si="62">SUM(CB7:CB20)</f>
        <v>0</v>
      </c>
      <c r="CC21" s="29">
        <f t="shared" ref="CC21" si="63">SUM(CC7:CC20)</f>
        <v>0</v>
      </c>
      <c r="CD21" s="29">
        <f t="shared" ref="CD21:CH21" si="64">SUM(CD7:CD20)</f>
        <v>0</v>
      </c>
      <c r="CE21" s="29">
        <f t="shared" si="64"/>
        <v>5023.3557270000001</v>
      </c>
      <c r="CF21" s="29">
        <f t="shared" si="64"/>
        <v>64.047102157743964</v>
      </c>
      <c r="CG21" s="29">
        <f t="shared" si="64"/>
        <v>0</v>
      </c>
      <c r="CH21" s="29">
        <f t="shared" si="64"/>
        <v>767.11661349999997</v>
      </c>
      <c r="CI21" s="29">
        <f t="shared" ref="CI21" si="65">SUM(CI7:CI20)</f>
        <v>0</v>
      </c>
      <c r="CJ21" s="303">
        <f t="shared" ref="CJ21:CN21" si="66">SUM(CJ7:CJ20)</f>
        <v>0</v>
      </c>
      <c r="CK21" s="29">
        <f t="shared" si="66"/>
        <v>172694.82391199999</v>
      </c>
      <c r="CL21" s="29">
        <f t="shared" si="66"/>
        <v>1985.4601668900627</v>
      </c>
      <c r="CM21" s="29">
        <f t="shared" si="66"/>
        <v>0</v>
      </c>
      <c r="CN21" s="29">
        <f t="shared" si="66"/>
        <v>14588.217632999997</v>
      </c>
      <c r="CO21" s="29">
        <f t="shared" ref="CO21" si="67">SUM(CO7:CO20)</f>
        <v>0</v>
      </c>
      <c r="CP21" s="301"/>
    </row>
    <row r="22" spans="1:94" ht="15.75" thickTop="1" x14ac:dyDescent="0.25">
      <c r="L22" s="705"/>
      <c r="P22" s="197"/>
      <c r="Q22" s="197"/>
      <c r="R22" s="197"/>
      <c r="S22" s="197"/>
      <c r="T22" s="197"/>
      <c r="AH22" s="301"/>
      <c r="AT22" s="301"/>
      <c r="AZ22" s="301"/>
      <c r="BL22" s="301"/>
      <c r="CJ22" s="301"/>
      <c r="CP22" s="301"/>
    </row>
    <row r="23" spans="1:94" ht="15.75" thickBot="1" x14ac:dyDescent="0.3">
      <c r="A23" s="760" t="s">
        <v>65</v>
      </c>
      <c r="B23" s="760"/>
      <c r="C23" s="760"/>
      <c r="D23" s="760"/>
      <c r="E23" s="760"/>
      <c r="F23" s="760"/>
      <c r="G23" s="760"/>
      <c r="H23" s="15"/>
      <c r="I23" s="15"/>
      <c r="J23" s="15"/>
      <c r="K23" s="15"/>
      <c r="L23" s="707"/>
      <c r="M23" s="15"/>
      <c r="N23" s="15"/>
      <c r="O23" s="15"/>
      <c r="P23" s="203"/>
      <c r="Q23" s="203"/>
      <c r="R23" s="203"/>
      <c r="S23" s="203"/>
      <c r="T23" s="198"/>
      <c r="U23" s="9"/>
      <c r="V23" s="9"/>
      <c r="W23" s="9"/>
      <c r="X23" s="9"/>
      <c r="Y23" s="9"/>
      <c r="Z23" s="9"/>
      <c r="AA23" s="269"/>
      <c r="AB23" s="9"/>
      <c r="AC23" s="9"/>
      <c r="AD23" s="9"/>
      <c r="AE23" s="9"/>
      <c r="AF23" s="9"/>
      <c r="AG23" s="9"/>
      <c r="AH23" s="313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313"/>
      <c r="AU23" s="9"/>
      <c r="AV23" s="9"/>
      <c r="AW23" s="9"/>
      <c r="AX23" s="9"/>
      <c r="AY23" s="9"/>
      <c r="AZ23" s="313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313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313"/>
      <c r="CK23" s="9"/>
      <c r="CL23" s="9"/>
      <c r="CM23" s="9"/>
      <c r="CN23" s="9"/>
      <c r="CO23" s="9"/>
      <c r="CP23" s="301"/>
    </row>
    <row r="24" spans="1:94" x14ac:dyDescent="0.25">
      <c r="A24" s="3" t="s">
        <v>246</v>
      </c>
      <c r="B24" s="3" t="s">
        <v>66</v>
      </c>
      <c r="C24" s="3" t="s">
        <v>47</v>
      </c>
      <c r="D24" s="3" t="s">
        <v>48</v>
      </c>
      <c r="E24" s="3" t="s">
        <v>48</v>
      </c>
      <c r="F24" s="3" t="s">
        <v>393</v>
      </c>
      <c r="G24" t="s">
        <v>11</v>
      </c>
      <c r="H24" s="67">
        <f t="shared" ref="H24:K39" si="68">$L24/4</f>
        <v>168750</v>
      </c>
      <c r="I24" s="67">
        <f t="shared" si="68"/>
        <v>168750</v>
      </c>
      <c r="J24" s="67">
        <f t="shared" si="68"/>
        <v>168750</v>
      </c>
      <c r="K24" s="67">
        <f>$L24/4</f>
        <v>168750</v>
      </c>
      <c r="L24" s="705">
        <v>675000</v>
      </c>
      <c r="N24" s="209" t="s">
        <v>11</v>
      </c>
      <c r="P24" s="195">
        <f>INDEX('Apportionment Bases'!AK$6:AK$33,MATCH('PC17'!$N24,'Apportionment Bases'!$A$6:$A$33,0))</f>
        <v>0.32829999999999998</v>
      </c>
      <c r="Q24" s="195">
        <f>INDEX('Apportionment Bases'!AL$6:AL$33,MATCH('PC17'!$N24,'Apportionment Bases'!$A$6:$A$33,0))</f>
        <v>0.51519999999999999</v>
      </c>
      <c r="R24" s="195">
        <f>INDEX('Apportionment Bases'!AM$6:AM$33,MATCH('PC17'!$N24,'Apportionment Bases'!$A$6:$A$33,0))</f>
        <v>4.9500000000000002E-2</v>
      </c>
      <c r="S24" s="195">
        <f>INDEX('Apportionment Bases'!AN$6:AN$33,MATCH('PC17'!$N24,'Apportionment Bases'!$A$6:$A$33,0))</f>
        <v>5.3499999999999999E-2</v>
      </c>
      <c r="T24" s="195">
        <f>INDEX('Apportionment Bases'!AO$6:AO$33,MATCH('PC17'!$N24,'Apportionment Bases'!$A$6:$A$33,0))</f>
        <v>5.3499999999999999E-2</v>
      </c>
      <c r="V24" s="72">
        <f t="shared" ref="V24:V87" si="69">$L24*P24</f>
        <v>221602.5</v>
      </c>
      <c r="W24" s="72">
        <f t="shared" ref="W24:W87" si="70">$L24*Q24</f>
        <v>347760</v>
      </c>
      <c r="X24" s="72">
        <f>$L24*R24</f>
        <v>33412.5</v>
      </c>
      <c r="Y24" s="72">
        <f>$L24*S24</f>
        <v>36112.5</v>
      </c>
      <c r="Z24" s="72">
        <f>$L24*T24</f>
        <v>36112.5</v>
      </c>
      <c r="AA24" s="271" t="str">
        <f t="shared" ref="AA24:AA87" si="71">IF(SUM(V24:Z24)=L24,"TRUE","FALSE")</f>
        <v>TRUE</v>
      </c>
      <c r="AH24" s="301"/>
      <c r="AO24" s="72">
        <f t="shared" ref="AO24:AO55" si="72">$AC$7*V24</f>
        <v>140894.8695</v>
      </c>
      <c r="AP24" s="72">
        <f t="shared" ref="AP24:AP55" si="73">$AD$7*W24</f>
        <v>346169.67594417726</v>
      </c>
      <c r="AQ24" s="72">
        <f t="shared" ref="AQ24:AQ55" si="74">$AE$7*X24</f>
        <v>33412.5</v>
      </c>
      <c r="AR24" s="72">
        <f t="shared" ref="AR24:AR55" si="75">$AF$7*Y24</f>
        <v>21241.372499999998</v>
      </c>
      <c r="AS24" s="72">
        <f t="shared" ref="AS24:AS55" si="76">$AG$7*Z24</f>
        <v>36112.5</v>
      </c>
      <c r="AT24" s="301"/>
      <c r="AU24" s="72">
        <f t="shared" ref="AU24:AU55" si="77">$AC$8*V24</f>
        <v>18902.69325</v>
      </c>
      <c r="AV24" s="72">
        <f t="shared" ref="AV24:AV55" si="78">$AD$8*W24</f>
        <v>361.02184025861396</v>
      </c>
      <c r="AW24" s="72">
        <f t="shared" ref="AW24:AW55" si="79">$AE$8*X24</f>
        <v>0</v>
      </c>
      <c r="AX24" s="72">
        <f t="shared" ref="AX24:AX55" si="80">$AF$8*Y24</f>
        <v>3235.68</v>
      </c>
      <c r="AY24" s="72">
        <f t="shared" ref="AY24:AY55" si="81">$AG$8*Z24</f>
        <v>0</v>
      </c>
      <c r="AZ24" s="301"/>
      <c r="BG24" s="72">
        <f t="shared" ref="BG24:BG55" si="82">$AC$9*V24</f>
        <v>32797.17</v>
      </c>
      <c r="BH24" s="72">
        <f t="shared" ref="BH24:BH55" si="83">$AD$9*W24</f>
        <v>644.35543641094387</v>
      </c>
      <c r="BI24" s="72">
        <f t="shared" ref="BI24:BI55" si="84">$AE$9*X24</f>
        <v>0</v>
      </c>
      <c r="BJ24" s="72">
        <f t="shared" ref="BJ24:BJ55" si="85">$AF$9*Y24</f>
        <v>7370.5612499999997</v>
      </c>
      <c r="BK24" s="72">
        <f t="shared" ref="BK24:BK55" si="86">$AG$9*Z24</f>
        <v>0</v>
      </c>
      <c r="BL24" s="301"/>
      <c r="CE24" s="72">
        <f t="shared" ref="CE24:CE55" si="87">$AC$10*V24</f>
        <v>819.92925000000002</v>
      </c>
      <c r="CF24" s="72">
        <f t="shared" ref="CF24:CF55" si="88">$AD$10*W24</f>
        <v>18.279586848537413</v>
      </c>
      <c r="CG24" s="72">
        <f t="shared" ref="CG24:CG55" si="89">$AE$10*X24</f>
        <v>0</v>
      </c>
      <c r="CH24" s="72">
        <f t="shared" ref="CH24:CH55" si="90">$AF$10*Y24</f>
        <v>213.06375</v>
      </c>
      <c r="CI24" s="72">
        <f t="shared" ref="CI24:CI55" si="91">$AG$10*Z24</f>
        <v>0</v>
      </c>
      <c r="CJ24" s="301"/>
      <c r="CK24" s="72">
        <f t="shared" ref="CK24:CK55" si="92">$AC$11*V24</f>
        <v>28187.838000000003</v>
      </c>
      <c r="CL24" s="72">
        <f t="shared" ref="CL24:CL55" si="93">$AD$11*W24</f>
        <v>566.66719230465981</v>
      </c>
      <c r="CM24" s="72">
        <f t="shared" ref="CM24:CM55" si="94">$AE$11*X24</f>
        <v>0</v>
      </c>
      <c r="CN24" s="72">
        <f t="shared" ref="CN24:CN55" si="95">$AF$11*Y24</f>
        <v>4051.8224999999998</v>
      </c>
      <c r="CO24" s="72">
        <f t="shared" ref="CO24:CO55" si="96">$AG$11*Z24</f>
        <v>0</v>
      </c>
      <c r="CP24" s="301"/>
    </row>
    <row r="25" spans="1:94" x14ac:dyDescent="0.25">
      <c r="A25" s="3" t="s">
        <v>246</v>
      </c>
      <c r="B25" s="3" t="s">
        <v>67</v>
      </c>
      <c r="C25" s="3" t="s">
        <v>47</v>
      </c>
      <c r="D25" s="3" t="s">
        <v>48</v>
      </c>
      <c r="E25" s="3" t="s">
        <v>48</v>
      </c>
      <c r="F25" s="3" t="s">
        <v>394</v>
      </c>
      <c r="G25" t="s">
        <v>12</v>
      </c>
      <c r="H25" s="67">
        <f t="shared" si="68"/>
        <v>35250</v>
      </c>
      <c r="I25" s="67">
        <f t="shared" si="68"/>
        <v>35250</v>
      </c>
      <c r="J25" s="67">
        <f t="shared" si="68"/>
        <v>35250</v>
      </c>
      <c r="K25" s="67">
        <f t="shared" si="68"/>
        <v>35250</v>
      </c>
      <c r="L25" s="705">
        <v>141000</v>
      </c>
      <c r="N25" s="209" t="s">
        <v>12</v>
      </c>
      <c r="P25" s="195">
        <f>INDEX('Apportionment Bases'!AK$6:AK$33,MATCH('PC17'!$N25,'Apportionment Bases'!$A$6:$A$33,0))</f>
        <v>1</v>
      </c>
      <c r="Q25" s="195">
        <f>INDEX('Apportionment Bases'!AL$6:AL$33,MATCH('PC17'!$N25,'Apportionment Bases'!$A$6:$A$33,0))</f>
        <v>0</v>
      </c>
      <c r="R25" s="195">
        <f>INDEX('Apportionment Bases'!AM$6:AM$33,MATCH('PC17'!$N25,'Apportionment Bases'!$A$6:$A$33,0))</f>
        <v>0</v>
      </c>
      <c r="S25" s="195">
        <f>INDEX('Apportionment Bases'!AN$6:AN$33,MATCH('PC17'!$N25,'Apportionment Bases'!$A$6:$A$33,0))</f>
        <v>0</v>
      </c>
      <c r="T25" s="195">
        <f>INDEX('Apportionment Bases'!AO$6:AO$33,MATCH('PC17'!$N25,'Apportionment Bases'!$A$6:$A$33,0))</f>
        <v>0</v>
      </c>
      <c r="V25" s="72">
        <f t="shared" si="69"/>
        <v>141000</v>
      </c>
      <c r="W25" s="72">
        <f t="shared" si="70"/>
        <v>0</v>
      </c>
      <c r="X25" s="72">
        <f t="shared" ref="X25:X88" si="97">$L25*R25</f>
        <v>0</v>
      </c>
      <c r="Y25" s="72">
        <f t="shared" ref="Y25:Y88" si="98">$L25*S25</f>
        <v>0</v>
      </c>
      <c r="Z25" s="72">
        <f t="shared" ref="Z25:Z88" si="99">$L25*T25</f>
        <v>0</v>
      </c>
      <c r="AA25" s="272" t="str">
        <f t="shared" si="71"/>
        <v>TRUE</v>
      </c>
      <c r="AH25" s="301"/>
      <c r="AO25" s="72">
        <f t="shared" si="72"/>
        <v>89647.8</v>
      </c>
      <c r="AP25" s="72">
        <f t="shared" si="73"/>
        <v>0</v>
      </c>
      <c r="AQ25" s="72">
        <f t="shared" si="74"/>
        <v>0</v>
      </c>
      <c r="AR25" s="72">
        <f t="shared" si="75"/>
        <v>0</v>
      </c>
      <c r="AS25" s="72">
        <f t="shared" si="76"/>
        <v>0</v>
      </c>
      <c r="AT25" s="301"/>
      <c r="AU25" s="72">
        <f t="shared" si="77"/>
        <v>12027.3</v>
      </c>
      <c r="AV25" s="72">
        <f t="shared" si="78"/>
        <v>0</v>
      </c>
      <c r="AW25" s="72">
        <f t="shared" si="79"/>
        <v>0</v>
      </c>
      <c r="AX25" s="72">
        <f t="shared" si="80"/>
        <v>0</v>
      </c>
      <c r="AY25" s="72">
        <f t="shared" si="81"/>
        <v>0</v>
      </c>
      <c r="AZ25" s="301"/>
      <c r="BG25" s="72">
        <f t="shared" si="82"/>
        <v>20868</v>
      </c>
      <c r="BH25" s="72">
        <f t="shared" si="83"/>
        <v>0</v>
      </c>
      <c r="BI25" s="72">
        <f t="shared" si="84"/>
        <v>0</v>
      </c>
      <c r="BJ25" s="72">
        <f t="shared" si="85"/>
        <v>0</v>
      </c>
      <c r="BK25" s="72">
        <f t="shared" si="86"/>
        <v>0</v>
      </c>
      <c r="BL25" s="301"/>
      <c r="CE25" s="72">
        <f t="shared" si="87"/>
        <v>521.70000000000005</v>
      </c>
      <c r="CF25" s="72">
        <f t="shared" si="88"/>
        <v>0</v>
      </c>
      <c r="CG25" s="72">
        <f t="shared" si="89"/>
        <v>0</v>
      </c>
      <c r="CH25" s="72">
        <f t="shared" si="90"/>
        <v>0</v>
      </c>
      <c r="CI25" s="72">
        <f t="shared" si="91"/>
        <v>0</v>
      </c>
      <c r="CJ25" s="301"/>
      <c r="CK25" s="72">
        <f t="shared" si="92"/>
        <v>17935.2</v>
      </c>
      <c r="CL25" s="72">
        <f t="shared" si="93"/>
        <v>0</v>
      </c>
      <c r="CM25" s="72">
        <f t="shared" si="94"/>
        <v>0</v>
      </c>
      <c r="CN25" s="72">
        <f t="shared" si="95"/>
        <v>0</v>
      </c>
      <c r="CO25" s="72">
        <f t="shared" si="96"/>
        <v>0</v>
      </c>
      <c r="CP25" s="301"/>
    </row>
    <row r="26" spans="1:94" x14ac:dyDescent="0.25">
      <c r="A26" s="3" t="s">
        <v>246</v>
      </c>
      <c r="B26" s="3" t="s">
        <v>68</v>
      </c>
      <c r="C26" s="3" t="s">
        <v>47</v>
      </c>
      <c r="D26" s="3" t="s">
        <v>48</v>
      </c>
      <c r="E26" s="3" t="s">
        <v>48</v>
      </c>
      <c r="F26" s="3" t="s">
        <v>395</v>
      </c>
      <c r="G26" t="s">
        <v>69</v>
      </c>
      <c r="H26" s="67">
        <f t="shared" si="68"/>
        <v>8500</v>
      </c>
      <c r="I26" s="67">
        <f t="shared" si="68"/>
        <v>8500</v>
      </c>
      <c r="J26" s="67">
        <f t="shared" si="68"/>
        <v>8500</v>
      </c>
      <c r="K26" s="67">
        <f t="shared" si="68"/>
        <v>8500</v>
      </c>
      <c r="L26" s="705">
        <v>34000</v>
      </c>
      <c r="N26" s="209" t="s">
        <v>13</v>
      </c>
      <c r="P26" s="195">
        <f>INDEX('Apportionment Bases'!AK$6:AK$33,MATCH('PC17'!$N26,'Apportionment Bases'!$A$6:$A$33,0))</f>
        <v>0.56499999999999995</v>
      </c>
      <c r="Q26" s="195">
        <f>INDEX('Apportionment Bases'!AL$6:AL$33,MATCH('PC17'!$N26,'Apportionment Bases'!$A$6:$A$33,0))</f>
        <v>0.37</v>
      </c>
      <c r="R26" s="195">
        <f>INDEX('Apportionment Bases'!AM$6:AM$33,MATCH('PC17'!$N26,'Apportionment Bases'!$A$6:$A$33,0))</f>
        <v>0</v>
      </c>
      <c r="S26" s="195">
        <f>INDEX('Apportionment Bases'!AN$6:AN$33,MATCH('PC17'!$N26,'Apportionment Bases'!$A$6:$A$33,0))</f>
        <v>0</v>
      </c>
      <c r="T26" s="195">
        <f>INDEX('Apportionment Bases'!AO$6:AO$33,MATCH('PC17'!$N26,'Apportionment Bases'!$A$6:$A$33,0))</f>
        <v>6.5000000000000002E-2</v>
      </c>
      <c r="V26" s="72">
        <f t="shared" si="69"/>
        <v>19210</v>
      </c>
      <c r="W26" s="72">
        <f t="shared" si="70"/>
        <v>12580</v>
      </c>
      <c r="X26" s="72">
        <f t="shared" si="97"/>
        <v>0</v>
      </c>
      <c r="Y26" s="72">
        <f t="shared" si="98"/>
        <v>0</v>
      </c>
      <c r="Z26" s="72">
        <f t="shared" si="99"/>
        <v>2210</v>
      </c>
      <c r="AA26" s="272" t="str">
        <f t="shared" si="71"/>
        <v>TRUE</v>
      </c>
      <c r="AH26" s="301"/>
      <c r="AO26" s="72">
        <f t="shared" si="72"/>
        <v>12213.718000000001</v>
      </c>
      <c r="AP26" s="72">
        <f t="shared" si="73"/>
        <v>12522.47102420563</v>
      </c>
      <c r="AQ26" s="72">
        <f t="shared" si="74"/>
        <v>0</v>
      </c>
      <c r="AR26" s="72">
        <f t="shared" si="75"/>
        <v>0</v>
      </c>
      <c r="AS26" s="72">
        <f t="shared" si="76"/>
        <v>2210</v>
      </c>
      <c r="AT26" s="301"/>
      <c r="AU26" s="72">
        <f t="shared" si="77"/>
        <v>1638.6130000000001</v>
      </c>
      <c r="AV26" s="72">
        <f t="shared" si="78"/>
        <v>13.059738757917424</v>
      </c>
      <c r="AW26" s="72">
        <f t="shared" si="79"/>
        <v>0</v>
      </c>
      <c r="AX26" s="72">
        <f t="shared" si="80"/>
        <v>0</v>
      </c>
      <c r="AY26" s="72">
        <f t="shared" si="81"/>
        <v>0</v>
      </c>
      <c r="AZ26" s="301"/>
      <c r="BG26" s="72">
        <f t="shared" si="82"/>
        <v>2843.08</v>
      </c>
      <c r="BH26" s="72">
        <f t="shared" si="83"/>
        <v>23.309153985650084</v>
      </c>
      <c r="BI26" s="72">
        <f t="shared" si="84"/>
        <v>0</v>
      </c>
      <c r="BJ26" s="72">
        <f t="shared" si="85"/>
        <v>0</v>
      </c>
      <c r="BK26" s="72">
        <f t="shared" si="86"/>
        <v>0</v>
      </c>
      <c r="BL26" s="301"/>
      <c r="CE26" s="72">
        <f t="shared" si="87"/>
        <v>71.076999999999998</v>
      </c>
      <c r="CF26" s="72">
        <f t="shared" si="88"/>
        <v>0.66125259533759106</v>
      </c>
      <c r="CG26" s="72">
        <f t="shared" si="89"/>
        <v>0</v>
      </c>
      <c r="CH26" s="72">
        <f t="shared" si="90"/>
        <v>0</v>
      </c>
      <c r="CI26" s="72">
        <f t="shared" si="91"/>
        <v>0</v>
      </c>
      <c r="CJ26" s="301"/>
      <c r="CK26" s="72">
        <f t="shared" si="92"/>
        <v>2443.5120000000002</v>
      </c>
      <c r="CL26" s="72">
        <f t="shared" si="93"/>
        <v>20.49883045546532</v>
      </c>
      <c r="CM26" s="72">
        <f t="shared" si="94"/>
        <v>0</v>
      </c>
      <c r="CN26" s="72">
        <f t="shared" si="95"/>
        <v>0</v>
      </c>
      <c r="CO26" s="72">
        <f t="shared" si="96"/>
        <v>0</v>
      </c>
      <c r="CP26" s="301"/>
    </row>
    <row r="27" spans="1:94" x14ac:dyDescent="0.25">
      <c r="A27" s="149" t="s">
        <v>246</v>
      </c>
      <c r="B27" s="149" t="s">
        <v>68</v>
      </c>
      <c r="C27" s="149" t="s">
        <v>45</v>
      </c>
      <c r="D27" s="149" t="s">
        <v>48</v>
      </c>
      <c r="E27" s="149" t="s">
        <v>48</v>
      </c>
      <c r="F27" s="149" t="s">
        <v>396</v>
      </c>
      <c r="G27" s="150" t="s">
        <v>378</v>
      </c>
      <c r="H27" s="151">
        <f t="shared" si="68"/>
        <v>0</v>
      </c>
      <c r="I27" s="151">
        <f t="shared" si="68"/>
        <v>0</v>
      </c>
      <c r="J27" s="151">
        <f t="shared" si="68"/>
        <v>0</v>
      </c>
      <c r="K27" s="151">
        <f t="shared" si="68"/>
        <v>0</v>
      </c>
      <c r="L27" s="712">
        <v>0</v>
      </c>
      <c r="M27" s="46"/>
      <c r="N27" s="209" t="s">
        <v>13</v>
      </c>
      <c r="O27" s="46"/>
      <c r="P27" s="195">
        <f>INDEX('Apportionment Bases'!AK$6:AK$33,MATCH('PC17'!$N27,'Apportionment Bases'!$A$6:$A$33,0))</f>
        <v>0.56499999999999995</v>
      </c>
      <c r="Q27" s="195">
        <f>INDEX('Apportionment Bases'!AL$6:AL$33,MATCH('PC17'!$N27,'Apportionment Bases'!$A$6:$A$33,0))</f>
        <v>0.37</v>
      </c>
      <c r="R27" s="195">
        <f>INDEX('Apportionment Bases'!AM$6:AM$33,MATCH('PC17'!$N27,'Apportionment Bases'!$A$6:$A$33,0))</f>
        <v>0</v>
      </c>
      <c r="S27" s="195">
        <f>INDEX('Apportionment Bases'!AN$6:AN$33,MATCH('PC17'!$N27,'Apportionment Bases'!$A$6:$A$33,0))</f>
        <v>0</v>
      </c>
      <c r="T27" s="195">
        <f>INDEX('Apportionment Bases'!AO$6:AO$33,MATCH('PC17'!$N27,'Apportionment Bases'!$A$6:$A$33,0))</f>
        <v>6.5000000000000002E-2</v>
      </c>
      <c r="V27" s="72">
        <f t="shared" si="69"/>
        <v>0</v>
      </c>
      <c r="W27" s="72">
        <f t="shared" si="70"/>
        <v>0</v>
      </c>
      <c r="X27" s="72">
        <f t="shared" si="97"/>
        <v>0</v>
      </c>
      <c r="Y27" s="72">
        <f t="shared" si="98"/>
        <v>0</v>
      </c>
      <c r="Z27" s="72">
        <f t="shared" si="99"/>
        <v>0</v>
      </c>
      <c r="AA27" s="272" t="str">
        <f t="shared" si="71"/>
        <v>TRUE</v>
      </c>
      <c r="AH27" s="301"/>
      <c r="AO27" s="72">
        <f t="shared" si="72"/>
        <v>0</v>
      </c>
      <c r="AP27" s="72">
        <f t="shared" si="73"/>
        <v>0</v>
      </c>
      <c r="AQ27" s="72">
        <f t="shared" si="74"/>
        <v>0</v>
      </c>
      <c r="AR27" s="72">
        <f t="shared" si="75"/>
        <v>0</v>
      </c>
      <c r="AS27" s="72">
        <f t="shared" si="76"/>
        <v>0</v>
      </c>
      <c r="AT27" s="301"/>
      <c r="AU27" s="72">
        <f t="shared" si="77"/>
        <v>0</v>
      </c>
      <c r="AV27" s="72">
        <f t="shared" si="78"/>
        <v>0</v>
      </c>
      <c r="AW27" s="72">
        <f t="shared" si="79"/>
        <v>0</v>
      </c>
      <c r="AX27" s="72">
        <f t="shared" si="80"/>
        <v>0</v>
      </c>
      <c r="AY27" s="72">
        <f t="shared" si="81"/>
        <v>0</v>
      </c>
      <c r="AZ27" s="301"/>
      <c r="BG27" s="72">
        <f t="shared" si="82"/>
        <v>0</v>
      </c>
      <c r="BH27" s="72">
        <f t="shared" si="83"/>
        <v>0</v>
      </c>
      <c r="BI27" s="72">
        <f t="shared" si="84"/>
        <v>0</v>
      </c>
      <c r="BJ27" s="72">
        <f t="shared" si="85"/>
        <v>0</v>
      </c>
      <c r="BK27" s="72">
        <f t="shared" si="86"/>
        <v>0</v>
      </c>
      <c r="BL27" s="301"/>
      <c r="CE27" s="72">
        <f t="shared" si="87"/>
        <v>0</v>
      </c>
      <c r="CF27" s="72">
        <f t="shared" si="88"/>
        <v>0</v>
      </c>
      <c r="CG27" s="72">
        <f t="shared" si="89"/>
        <v>0</v>
      </c>
      <c r="CH27" s="72">
        <f t="shared" si="90"/>
        <v>0</v>
      </c>
      <c r="CI27" s="72">
        <f t="shared" si="91"/>
        <v>0</v>
      </c>
      <c r="CJ27" s="301"/>
      <c r="CK27" s="72">
        <f t="shared" si="92"/>
        <v>0</v>
      </c>
      <c r="CL27" s="72">
        <f t="shared" si="93"/>
        <v>0</v>
      </c>
      <c r="CM27" s="72">
        <f t="shared" si="94"/>
        <v>0</v>
      </c>
      <c r="CN27" s="72">
        <f t="shared" si="95"/>
        <v>0</v>
      </c>
      <c r="CO27" s="72">
        <f t="shared" si="96"/>
        <v>0</v>
      </c>
      <c r="CP27" s="301"/>
    </row>
    <row r="28" spans="1:94" x14ac:dyDescent="0.25">
      <c r="A28" s="3" t="s">
        <v>246</v>
      </c>
      <c r="B28" s="3" t="s">
        <v>379</v>
      </c>
      <c r="C28" s="3" t="s">
        <v>47</v>
      </c>
      <c r="D28" s="3" t="s">
        <v>48</v>
      </c>
      <c r="E28" s="3" t="s">
        <v>48</v>
      </c>
      <c r="F28" s="3" t="s">
        <v>397</v>
      </c>
      <c r="G28" t="s">
        <v>380</v>
      </c>
      <c r="H28" s="67">
        <f t="shared" si="68"/>
        <v>-62500</v>
      </c>
      <c r="I28" s="67">
        <f t="shared" si="68"/>
        <v>-62500</v>
      </c>
      <c r="J28" s="67">
        <f t="shared" si="68"/>
        <v>-62500</v>
      </c>
      <c r="K28" s="67">
        <f t="shared" si="68"/>
        <v>-62500</v>
      </c>
      <c r="L28" s="705">
        <v>-250000</v>
      </c>
      <c r="N28" s="209" t="s">
        <v>4</v>
      </c>
      <c r="P28" s="195">
        <f>INDEX('Apportionment Bases'!AK$6:AK$33,MATCH('PC17'!$N28,'Apportionment Bases'!$A$6:$A$33,0))</f>
        <v>1</v>
      </c>
      <c r="Q28" s="195">
        <f>INDEX('Apportionment Bases'!AL$6:AL$33,MATCH('PC17'!$N28,'Apportionment Bases'!$A$6:$A$33,0))</f>
        <v>0</v>
      </c>
      <c r="R28" s="195">
        <f>INDEX('Apportionment Bases'!AM$6:AM$33,MATCH('PC17'!$N28,'Apportionment Bases'!$A$6:$A$33,0))</f>
        <v>0</v>
      </c>
      <c r="S28" s="195">
        <f>INDEX('Apportionment Bases'!AN$6:AN$33,MATCH('PC17'!$N28,'Apportionment Bases'!$A$6:$A$33,0))</f>
        <v>0</v>
      </c>
      <c r="T28" s="195">
        <f>INDEX('Apportionment Bases'!AO$6:AO$33,MATCH('PC17'!$N28,'Apportionment Bases'!$A$6:$A$33,0))</f>
        <v>0</v>
      </c>
      <c r="V28" s="72">
        <f t="shared" si="69"/>
        <v>-250000</v>
      </c>
      <c r="W28" s="72">
        <f t="shared" si="70"/>
        <v>0</v>
      </c>
      <c r="X28" s="72">
        <f t="shared" si="97"/>
        <v>0</v>
      </c>
      <c r="Y28" s="72">
        <f t="shared" si="98"/>
        <v>0</v>
      </c>
      <c r="Z28" s="72">
        <f t="shared" si="99"/>
        <v>0</v>
      </c>
      <c r="AA28" s="272" t="str">
        <f t="shared" si="71"/>
        <v>TRUE</v>
      </c>
      <c r="AH28" s="301"/>
      <c r="AO28" s="72">
        <f t="shared" si="72"/>
        <v>-158950</v>
      </c>
      <c r="AP28" s="72">
        <f t="shared" si="73"/>
        <v>0</v>
      </c>
      <c r="AQ28" s="72">
        <f t="shared" si="74"/>
        <v>0</v>
      </c>
      <c r="AR28" s="72">
        <f t="shared" si="75"/>
        <v>0</v>
      </c>
      <c r="AS28" s="72">
        <f t="shared" si="76"/>
        <v>0</v>
      </c>
      <c r="AT28" s="301"/>
      <c r="AU28" s="72">
        <f t="shared" si="77"/>
        <v>-21325</v>
      </c>
      <c r="AV28" s="72">
        <f t="shared" si="78"/>
        <v>0</v>
      </c>
      <c r="AW28" s="72">
        <f t="shared" si="79"/>
        <v>0</v>
      </c>
      <c r="AX28" s="72">
        <f t="shared" si="80"/>
        <v>0</v>
      </c>
      <c r="AY28" s="72">
        <f t="shared" si="81"/>
        <v>0</v>
      </c>
      <c r="AZ28" s="301"/>
      <c r="BG28" s="72">
        <f t="shared" si="82"/>
        <v>-37000</v>
      </c>
      <c r="BH28" s="72">
        <f t="shared" si="83"/>
        <v>0</v>
      </c>
      <c r="BI28" s="72">
        <f t="shared" si="84"/>
        <v>0</v>
      </c>
      <c r="BJ28" s="72">
        <f t="shared" si="85"/>
        <v>0</v>
      </c>
      <c r="BK28" s="72">
        <f t="shared" si="86"/>
        <v>0</v>
      </c>
      <c r="BL28" s="301"/>
      <c r="CE28" s="72">
        <f t="shared" si="87"/>
        <v>-925</v>
      </c>
      <c r="CF28" s="72">
        <f t="shared" si="88"/>
        <v>0</v>
      </c>
      <c r="CG28" s="72">
        <f t="shared" si="89"/>
        <v>0</v>
      </c>
      <c r="CH28" s="72">
        <f t="shared" si="90"/>
        <v>0</v>
      </c>
      <c r="CI28" s="72">
        <f t="shared" si="91"/>
        <v>0</v>
      </c>
      <c r="CJ28" s="301"/>
      <c r="CK28" s="72">
        <f t="shared" si="92"/>
        <v>-31800.000000000004</v>
      </c>
      <c r="CL28" s="72">
        <f t="shared" si="93"/>
        <v>0</v>
      </c>
      <c r="CM28" s="72">
        <f t="shared" si="94"/>
        <v>0</v>
      </c>
      <c r="CN28" s="72">
        <f t="shared" si="95"/>
        <v>0</v>
      </c>
      <c r="CO28" s="72">
        <f t="shared" si="96"/>
        <v>0</v>
      </c>
      <c r="CP28" s="301"/>
    </row>
    <row r="29" spans="1:94" x14ac:dyDescent="0.25">
      <c r="A29" s="3" t="s">
        <v>246</v>
      </c>
      <c r="B29" s="3" t="s">
        <v>70</v>
      </c>
      <c r="C29" s="3" t="s">
        <v>47</v>
      </c>
      <c r="D29" s="3" t="s">
        <v>48</v>
      </c>
      <c r="E29" s="3" t="s">
        <v>48</v>
      </c>
      <c r="F29" s="3" t="s">
        <v>398</v>
      </c>
      <c r="G29" t="s">
        <v>14</v>
      </c>
      <c r="H29" s="67">
        <f t="shared" si="68"/>
        <v>87500</v>
      </c>
      <c r="I29" s="67">
        <f t="shared" si="68"/>
        <v>87500</v>
      </c>
      <c r="J29" s="67">
        <f t="shared" si="68"/>
        <v>87500</v>
      </c>
      <c r="K29" s="67">
        <f t="shared" si="68"/>
        <v>87500</v>
      </c>
      <c r="L29" s="705">
        <v>350000</v>
      </c>
      <c r="N29" s="209" t="s">
        <v>14</v>
      </c>
      <c r="P29" s="195">
        <f>INDEX('Apportionment Bases'!AK$6:AK$33,MATCH('PC17'!$N29,'Apportionment Bases'!$A$6:$A$33,0))</f>
        <v>0</v>
      </c>
      <c r="Q29" s="195">
        <f>INDEX('Apportionment Bases'!AL$6:AL$33,MATCH('PC17'!$N29,'Apportionment Bases'!$A$6:$A$33,0))</f>
        <v>0.04</v>
      </c>
      <c r="R29" s="195">
        <f>INDEX('Apportionment Bases'!AM$6:AM$33,MATCH('PC17'!$N29,'Apportionment Bases'!$A$6:$A$33,0))</f>
        <v>0.96</v>
      </c>
      <c r="S29" s="195">
        <f>INDEX('Apportionment Bases'!AN$6:AN$33,MATCH('PC17'!$N29,'Apportionment Bases'!$A$6:$A$33,0))</f>
        <v>0</v>
      </c>
      <c r="T29" s="195">
        <f>INDEX('Apportionment Bases'!AO$6:AO$33,MATCH('PC17'!$N29,'Apportionment Bases'!$A$6:$A$33,0))</f>
        <v>0</v>
      </c>
      <c r="V29" s="72">
        <f t="shared" si="69"/>
        <v>0</v>
      </c>
      <c r="W29" s="72">
        <f t="shared" si="70"/>
        <v>14000</v>
      </c>
      <c r="X29" s="72">
        <f t="shared" si="97"/>
        <v>336000</v>
      </c>
      <c r="Y29" s="72">
        <f t="shared" si="98"/>
        <v>0</v>
      </c>
      <c r="Z29" s="72">
        <f t="shared" si="99"/>
        <v>0</v>
      </c>
      <c r="AA29" s="272" t="str">
        <f t="shared" si="71"/>
        <v>TRUE</v>
      </c>
      <c r="AH29" s="301"/>
      <c r="AO29" s="72">
        <f t="shared" si="72"/>
        <v>0</v>
      </c>
      <c r="AP29" s="72">
        <f t="shared" si="73"/>
        <v>13935.977292438698</v>
      </c>
      <c r="AQ29" s="72">
        <f t="shared" si="74"/>
        <v>336000</v>
      </c>
      <c r="AR29" s="72">
        <f t="shared" si="75"/>
        <v>0</v>
      </c>
      <c r="AS29" s="72">
        <f t="shared" si="76"/>
        <v>0</v>
      </c>
      <c r="AT29" s="301"/>
      <c r="AU29" s="72">
        <f t="shared" si="77"/>
        <v>0</v>
      </c>
      <c r="AV29" s="72">
        <f t="shared" si="78"/>
        <v>14.533890509606037</v>
      </c>
      <c r="AW29" s="72">
        <f t="shared" si="79"/>
        <v>0</v>
      </c>
      <c r="AX29" s="72">
        <f t="shared" si="80"/>
        <v>0</v>
      </c>
      <c r="AY29" s="72">
        <f t="shared" si="81"/>
        <v>0</v>
      </c>
      <c r="AZ29" s="301"/>
      <c r="BG29" s="72">
        <f t="shared" si="82"/>
        <v>0</v>
      </c>
      <c r="BH29" s="72">
        <f t="shared" si="83"/>
        <v>25.940234960182924</v>
      </c>
      <c r="BI29" s="72">
        <f t="shared" si="84"/>
        <v>0</v>
      </c>
      <c r="BJ29" s="72">
        <f t="shared" si="85"/>
        <v>0</v>
      </c>
      <c r="BK29" s="72">
        <f t="shared" si="86"/>
        <v>0</v>
      </c>
      <c r="BL29" s="301"/>
      <c r="CE29" s="72">
        <f t="shared" si="87"/>
        <v>0</v>
      </c>
      <c r="CF29" s="72">
        <f t="shared" si="88"/>
        <v>0.73589319035979928</v>
      </c>
      <c r="CG29" s="72">
        <f t="shared" si="89"/>
        <v>0</v>
      </c>
      <c r="CH29" s="72">
        <f t="shared" si="90"/>
        <v>0</v>
      </c>
      <c r="CI29" s="72">
        <f t="shared" si="91"/>
        <v>0</v>
      </c>
      <c r="CJ29" s="301"/>
      <c r="CK29" s="72">
        <f t="shared" si="92"/>
        <v>0</v>
      </c>
      <c r="CL29" s="72">
        <f t="shared" si="93"/>
        <v>22.812688901153777</v>
      </c>
      <c r="CM29" s="72">
        <f t="shared" si="94"/>
        <v>0</v>
      </c>
      <c r="CN29" s="72">
        <f t="shared" si="95"/>
        <v>0</v>
      </c>
      <c r="CO29" s="72">
        <f t="shared" si="96"/>
        <v>0</v>
      </c>
      <c r="CP29" s="301"/>
    </row>
    <row r="30" spans="1:94" x14ac:dyDescent="0.25">
      <c r="A30" s="3" t="s">
        <v>246</v>
      </c>
      <c r="B30" s="3" t="s">
        <v>71</v>
      </c>
      <c r="C30" s="3" t="s">
        <v>47</v>
      </c>
      <c r="D30" s="3" t="s">
        <v>48</v>
      </c>
      <c r="E30" s="3" t="s">
        <v>48</v>
      </c>
      <c r="F30" s="3" t="s">
        <v>399</v>
      </c>
      <c r="G30" t="s">
        <v>72</v>
      </c>
      <c r="H30" s="67">
        <f t="shared" si="68"/>
        <v>101500</v>
      </c>
      <c r="I30" s="67">
        <f t="shared" si="68"/>
        <v>101500</v>
      </c>
      <c r="J30" s="67">
        <f t="shared" si="68"/>
        <v>101500</v>
      </c>
      <c r="K30" s="67">
        <f t="shared" si="68"/>
        <v>101500</v>
      </c>
      <c r="L30" s="705">
        <v>406000</v>
      </c>
      <c r="N30" s="209" t="s">
        <v>72</v>
      </c>
      <c r="P30" s="195">
        <f>INDEX('Apportionment Bases'!AK$6:AK$33,MATCH('PC17'!$N30,'Apportionment Bases'!$A$6:$A$33,0))</f>
        <v>0.82199999999999995</v>
      </c>
      <c r="Q30" s="195">
        <f>INDEX('Apportionment Bases'!AL$6:AL$33,MATCH('PC17'!$N30,'Apportionment Bases'!$A$6:$A$33,0))</f>
        <v>0.17499999999999999</v>
      </c>
      <c r="R30" s="195">
        <f>INDEX('Apportionment Bases'!AM$6:AM$33,MATCH('PC17'!$N30,'Apportionment Bases'!$A$6:$A$33,0))</f>
        <v>3.0000000000000001E-3</v>
      </c>
      <c r="S30" s="195">
        <f>INDEX('Apportionment Bases'!AN$6:AN$33,MATCH('PC17'!$N30,'Apportionment Bases'!$A$6:$A$33,0))</f>
        <v>0</v>
      </c>
      <c r="T30" s="195">
        <f>INDEX('Apportionment Bases'!AO$6:AO$33,MATCH('PC17'!$N30,'Apportionment Bases'!$A$6:$A$33,0))</f>
        <v>0</v>
      </c>
      <c r="V30" s="72">
        <f t="shared" si="69"/>
        <v>333732</v>
      </c>
      <c r="W30" s="72">
        <f t="shared" si="70"/>
        <v>71050</v>
      </c>
      <c r="X30" s="72">
        <f t="shared" si="97"/>
        <v>1218</v>
      </c>
      <c r="Y30" s="72">
        <f t="shared" si="98"/>
        <v>0</v>
      </c>
      <c r="Z30" s="72">
        <f t="shared" si="99"/>
        <v>0</v>
      </c>
      <c r="AA30" s="272" t="str">
        <f t="shared" si="71"/>
        <v>TRUE</v>
      </c>
      <c r="AH30" s="301"/>
      <c r="AO30" s="72">
        <f t="shared" si="72"/>
        <v>212186.80560000002</v>
      </c>
      <c r="AP30" s="72">
        <f t="shared" si="73"/>
        <v>70725.084759126388</v>
      </c>
      <c r="AQ30" s="72">
        <f t="shared" si="74"/>
        <v>1218</v>
      </c>
      <c r="AR30" s="72">
        <f t="shared" si="75"/>
        <v>0</v>
      </c>
      <c r="AS30" s="72">
        <f t="shared" si="76"/>
        <v>0</v>
      </c>
      <c r="AT30" s="301"/>
      <c r="AU30" s="72">
        <f t="shared" si="77"/>
        <v>28467.339599999999</v>
      </c>
      <c r="AV30" s="72">
        <f t="shared" si="78"/>
        <v>73.75949433625064</v>
      </c>
      <c r="AW30" s="72">
        <f t="shared" si="79"/>
        <v>0</v>
      </c>
      <c r="AX30" s="72">
        <f t="shared" si="80"/>
        <v>0</v>
      </c>
      <c r="AY30" s="72">
        <f t="shared" si="81"/>
        <v>0</v>
      </c>
      <c r="AZ30" s="301"/>
      <c r="BG30" s="72">
        <f t="shared" si="82"/>
        <v>49392.335999999996</v>
      </c>
      <c r="BH30" s="72">
        <f t="shared" si="83"/>
        <v>131.64669242292834</v>
      </c>
      <c r="BI30" s="72">
        <f t="shared" si="84"/>
        <v>0</v>
      </c>
      <c r="BJ30" s="72">
        <f t="shared" si="85"/>
        <v>0</v>
      </c>
      <c r="BK30" s="72">
        <f t="shared" si="86"/>
        <v>0</v>
      </c>
      <c r="BL30" s="301"/>
      <c r="CE30" s="72">
        <f t="shared" si="87"/>
        <v>1234.8084000000001</v>
      </c>
      <c r="CF30" s="72">
        <f t="shared" si="88"/>
        <v>3.7346579410759815</v>
      </c>
      <c r="CG30" s="72">
        <f t="shared" si="89"/>
        <v>0</v>
      </c>
      <c r="CH30" s="72">
        <f t="shared" si="90"/>
        <v>0</v>
      </c>
      <c r="CI30" s="72">
        <f t="shared" si="91"/>
        <v>0</v>
      </c>
      <c r="CJ30" s="301"/>
      <c r="CK30" s="72">
        <f t="shared" si="92"/>
        <v>42450.710400000004</v>
      </c>
      <c r="CL30" s="72">
        <f t="shared" si="93"/>
        <v>115.77439617335541</v>
      </c>
      <c r="CM30" s="72">
        <f t="shared" si="94"/>
        <v>0</v>
      </c>
      <c r="CN30" s="72">
        <f t="shared" si="95"/>
        <v>0</v>
      </c>
      <c r="CO30" s="72">
        <f t="shared" si="96"/>
        <v>0</v>
      </c>
      <c r="CP30" s="301"/>
    </row>
    <row r="31" spans="1:94" x14ac:dyDescent="0.25">
      <c r="A31" s="3" t="s">
        <v>246</v>
      </c>
      <c r="B31" s="3" t="s">
        <v>73</v>
      </c>
      <c r="C31" s="3" t="s">
        <v>47</v>
      </c>
      <c r="D31" s="3" t="s">
        <v>48</v>
      </c>
      <c r="E31" s="3" t="s">
        <v>48</v>
      </c>
      <c r="F31" s="3" t="s">
        <v>400</v>
      </c>
      <c r="G31" t="s">
        <v>15</v>
      </c>
      <c r="H31" s="67">
        <f t="shared" si="68"/>
        <v>31250</v>
      </c>
      <c r="I31" s="67">
        <f t="shared" si="68"/>
        <v>31250</v>
      </c>
      <c r="J31" s="67">
        <f t="shared" si="68"/>
        <v>31250</v>
      </c>
      <c r="K31" s="67">
        <f t="shared" si="68"/>
        <v>31250</v>
      </c>
      <c r="L31" s="705">
        <v>125000</v>
      </c>
      <c r="N31" s="209" t="s">
        <v>15</v>
      </c>
      <c r="P31" s="195">
        <f>INDEX('Apportionment Bases'!AK$6:AK$33,MATCH('PC17'!$N31,'Apportionment Bases'!$A$6:$A$33,0))</f>
        <v>1</v>
      </c>
      <c r="Q31" s="195">
        <f>INDEX('Apportionment Bases'!AL$6:AL$33,MATCH('PC17'!$N31,'Apportionment Bases'!$A$6:$A$33,0))</f>
        <v>0</v>
      </c>
      <c r="R31" s="195">
        <f>INDEX('Apportionment Bases'!AM$6:AM$33,MATCH('PC17'!$N31,'Apportionment Bases'!$A$6:$A$33,0))</f>
        <v>0</v>
      </c>
      <c r="S31" s="195">
        <f>INDEX('Apportionment Bases'!AN$6:AN$33,MATCH('PC17'!$N31,'Apportionment Bases'!$A$6:$A$33,0))</f>
        <v>0</v>
      </c>
      <c r="T31" s="195">
        <f>INDEX('Apportionment Bases'!AO$6:AO$33,MATCH('PC17'!$N31,'Apportionment Bases'!$A$6:$A$33,0))</f>
        <v>0</v>
      </c>
      <c r="V31" s="72">
        <f t="shared" si="69"/>
        <v>125000</v>
      </c>
      <c r="W31" s="72">
        <f t="shared" si="70"/>
        <v>0</v>
      </c>
      <c r="X31" s="72">
        <f t="shared" si="97"/>
        <v>0</v>
      </c>
      <c r="Y31" s="72">
        <f t="shared" si="98"/>
        <v>0</v>
      </c>
      <c r="Z31" s="72">
        <f t="shared" si="99"/>
        <v>0</v>
      </c>
      <c r="AA31" s="272" t="str">
        <f t="shared" si="71"/>
        <v>TRUE</v>
      </c>
      <c r="AH31" s="301"/>
      <c r="AO31" s="72">
        <f t="shared" si="72"/>
        <v>79475</v>
      </c>
      <c r="AP31" s="72">
        <f t="shared" si="73"/>
        <v>0</v>
      </c>
      <c r="AQ31" s="72">
        <f t="shared" si="74"/>
        <v>0</v>
      </c>
      <c r="AR31" s="72">
        <f t="shared" si="75"/>
        <v>0</v>
      </c>
      <c r="AS31" s="72">
        <f t="shared" si="76"/>
        <v>0</v>
      </c>
      <c r="AT31" s="301"/>
      <c r="AU31" s="72">
        <f t="shared" si="77"/>
        <v>10662.5</v>
      </c>
      <c r="AV31" s="72">
        <f t="shared" si="78"/>
        <v>0</v>
      </c>
      <c r="AW31" s="72">
        <f t="shared" si="79"/>
        <v>0</v>
      </c>
      <c r="AX31" s="72">
        <f t="shared" si="80"/>
        <v>0</v>
      </c>
      <c r="AY31" s="72">
        <f t="shared" si="81"/>
        <v>0</v>
      </c>
      <c r="AZ31" s="301"/>
      <c r="BG31" s="72">
        <f t="shared" si="82"/>
        <v>18500</v>
      </c>
      <c r="BH31" s="72">
        <f t="shared" si="83"/>
        <v>0</v>
      </c>
      <c r="BI31" s="72">
        <f t="shared" si="84"/>
        <v>0</v>
      </c>
      <c r="BJ31" s="72">
        <f t="shared" si="85"/>
        <v>0</v>
      </c>
      <c r="BK31" s="72">
        <f t="shared" si="86"/>
        <v>0</v>
      </c>
      <c r="BL31" s="301"/>
      <c r="CE31" s="72">
        <f t="shared" si="87"/>
        <v>462.5</v>
      </c>
      <c r="CF31" s="72">
        <f t="shared" si="88"/>
        <v>0</v>
      </c>
      <c r="CG31" s="72">
        <f t="shared" si="89"/>
        <v>0</v>
      </c>
      <c r="CH31" s="72">
        <f t="shared" si="90"/>
        <v>0</v>
      </c>
      <c r="CI31" s="72">
        <f t="shared" si="91"/>
        <v>0</v>
      </c>
      <c r="CJ31" s="301"/>
      <c r="CK31" s="72">
        <f t="shared" si="92"/>
        <v>15900.000000000002</v>
      </c>
      <c r="CL31" s="72">
        <f t="shared" si="93"/>
        <v>0</v>
      </c>
      <c r="CM31" s="72">
        <f t="shared" si="94"/>
        <v>0</v>
      </c>
      <c r="CN31" s="72">
        <f t="shared" si="95"/>
        <v>0</v>
      </c>
      <c r="CO31" s="72">
        <f t="shared" si="96"/>
        <v>0</v>
      </c>
      <c r="CP31" s="301"/>
    </row>
    <row r="32" spans="1:94" x14ac:dyDescent="0.25">
      <c r="A32" s="3" t="s">
        <v>246</v>
      </c>
      <c r="B32" s="3" t="s">
        <v>74</v>
      </c>
      <c r="C32" s="3" t="s">
        <v>47</v>
      </c>
      <c r="D32" s="3" t="s">
        <v>48</v>
      </c>
      <c r="E32" s="3" t="s">
        <v>48</v>
      </c>
      <c r="F32" s="3" t="s">
        <v>401</v>
      </c>
      <c r="G32" t="s">
        <v>16</v>
      </c>
      <c r="H32" s="67">
        <f t="shared" si="68"/>
        <v>12500</v>
      </c>
      <c r="I32" s="67">
        <f t="shared" si="68"/>
        <v>12500</v>
      </c>
      <c r="J32" s="67">
        <f t="shared" si="68"/>
        <v>12500</v>
      </c>
      <c r="K32" s="67">
        <f t="shared" si="68"/>
        <v>12500</v>
      </c>
      <c r="L32" s="705">
        <v>50000</v>
      </c>
      <c r="N32" s="209" t="s">
        <v>16</v>
      </c>
      <c r="P32" s="195">
        <f>INDEX('Apportionment Bases'!AK$6:AK$33,MATCH('PC17'!$N32,'Apportionment Bases'!$A$6:$A$33,0))</f>
        <v>0.35</v>
      </c>
      <c r="Q32" s="195">
        <f>INDEX('Apportionment Bases'!AL$6:AL$33,MATCH('PC17'!$N32,'Apportionment Bases'!$A$6:$A$33,0))</f>
        <v>0.65</v>
      </c>
      <c r="R32" s="195">
        <f>INDEX('Apportionment Bases'!AM$6:AM$33,MATCH('PC17'!$N32,'Apportionment Bases'!$A$6:$A$33,0))</f>
        <v>0</v>
      </c>
      <c r="S32" s="195">
        <f>INDEX('Apportionment Bases'!AN$6:AN$33,MATCH('PC17'!$N32,'Apportionment Bases'!$A$6:$A$33,0))</f>
        <v>0</v>
      </c>
      <c r="T32" s="195">
        <f>INDEX('Apportionment Bases'!AO$6:AO$33,MATCH('PC17'!$N32,'Apportionment Bases'!$A$6:$A$33,0))</f>
        <v>0</v>
      </c>
      <c r="V32" s="72">
        <f t="shared" si="69"/>
        <v>17500</v>
      </c>
      <c r="W32" s="72">
        <f t="shared" si="70"/>
        <v>32500</v>
      </c>
      <c r="X32" s="72">
        <f t="shared" si="97"/>
        <v>0</v>
      </c>
      <c r="Y32" s="72">
        <f t="shared" si="98"/>
        <v>0</v>
      </c>
      <c r="Z32" s="72">
        <f t="shared" si="99"/>
        <v>0</v>
      </c>
      <c r="AA32" s="272" t="str">
        <f t="shared" si="71"/>
        <v>TRUE</v>
      </c>
      <c r="AH32" s="301"/>
      <c r="AO32" s="72">
        <f t="shared" si="72"/>
        <v>11126.5</v>
      </c>
      <c r="AP32" s="72">
        <f t="shared" si="73"/>
        <v>32351.375857446976</v>
      </c>
      <c r="AQ32" s="72">
        <f t="shared" si="74"/>
        <v>0</v>
      </c>
      <c r="AR32" s="72">
        <f t="shared" si="75"/>
        <v>0</v>
      </c>
      <c r="AS32" s="72">
        <f t="shared" si="76"/>
        <v>0</v>
      </c>
      <c r="AT32" s="301"/>
      <c r="AU32" s="72">
        <f t="shared" si="77"/>
        <v>1492.75</v>
      </c>
      <c r="AV32" s="72">
        <f t="shared" si="78"/>
        <v>33.739388683014013</v>
      </c>
      <c r="AW32" s="72">
        <f t="shared" si="79"/>
        <v>0</v>
      </c>
      <c r="AX32" s="72">
        <f t="shared" si="80"/>
        <v>0</v>
      </c>
      <c r="AY32" s="72">
        <f t="shared" si="81"/>
        <v>0</v>
      </c>
      <c r="AZ32" s="301"/>
      <c r="BG32" s="72">
        <f t="shared" si="82"/>
        <v>2590</v>
      </c>
      <c r="BH32" s="72">
        <f t="shared" si="83"/>
        <v>60.218402586138929</v>
      </c>
      <c r="BI32" s="72">
        <f t="shared" si="84"/>
        <v>0</v>
      </c>
      <c r="BJ32" s="72">
        <f t="shared" si="85"/>
        <v>0</v>
      </c>
      <c r="BK32" s="72">
        <f t="shared" si="86"/>
        <v>0</v>
      </c>
      <c r="BL32" s="301"/>
      <c r="CE32" s="72">
        <f t="shared" si="87"/>
        <v>64.75</v>
      </c>
      <c r="CF32" s="72">
        <f t="shared" si="88"/>
        <v>1.7083234776209626</v>
      </c>
      <c r="CG32" s="72">
        <f t="shared" si="89"/>
        <v>0</v>
      </c>
      <c r="CH32" s="72">
        <f t="shared" si="90"/>
        <v>0</v>
      </c>
      <c r="CI32" s="72">
        <f t="shared" si="91"/>
        <v>0</v>
      </c>
      <c r="CJ32" s="301"/>
      <c r="CK32" s="72">
        <f t="shared" si="92"/>
        <v>2226</v>
      </c>
      <c r="CL32" s="72">
        <f t="shared" si="93"/>
        <v>52.958027806249838</v>
      </c>
      <c r="CM32" s="72">
        <f t="shared" si="94"/>
        <v>0</v>
      </c>
      <c r="CN32" s="72">
        <f t="shared" si="95"/>
        <v>0</v>
      </c>
      <c r="CO32" s="72">
        <f t="shared" si="96"/>
        <v>0</v>
      </c>
      <c r="CP32" s="301"/>
    </row>
    <row r="33" spans="1:94" x14ac:dyDescent="0.25">
      <c r="A33" s="3" t="s">
        <v>246</v>
      </c>
      <c r="B33" s="3" t="s">
        <v>75</v>
      </c>
      <c r="C33" s="3" t="s">
        <v>47</v>
      </c>
      <c r="D33" s="3" t="s">
        <v>48</v>
      </c>
      <c r="E33" s="3" t="s">
        <v>48</v>
      </c>
      <c r="F33" s="3" t="s">
        <v>402</v>
      </c>
      <c r="G33" t="s">
        <v>76</v>
      </c>
      <c r="H33" s="67">
        <f t="shared" si="68"/>
        <v>1000</v>
      </c>
      <c r="I33" s="67">
        <f t="shared" si="68"/>
        <v>1000</v>
      </c>
      <c r="J33" s="67">
        <f t="shared" si="68"/>
        <v>1000</v>
      </c>
      <c r="K33" s="67">
        <f t="shared" si="68"/>
        <v>1000</v>
      </c>
      <c r="L33" s="705">
        <v>4000</v>
      </c>
      <c r="N33" s="209" t="s">
        <v>705</v>
      </c>
      <c r="P33" s="195">
        <f>INDEX('Apportionment Bases'!AK$6:AK$33,MATCH('PC17'!$N33,'Apportionment Bases'!$A$6:$A$33,0))</f>
        <v>0</v>
      </c>
      <c r="Q33" s="195">
        <f>INDEX('Apportionment Bases'!AL$6:AL$33,MATCH('PC17'!$N33,'Apportionment Bases'!$A$6:$A$33,0))</f>
        <v>0</v>
      </c>
      <c r="R33" s="195">
        <f>INDEX('Apportionment Bases'!AM$6:AM$33,MATCH('PC17'!$N33,'Apportionment Bases'!$A$6:$A$33,0))</f>
        <v>0</v>
      </c>
      <c r="S33" s="195">
        <f>INDEX('Apportionment Bases'!AN$6:AN$33,MATCH('PC17'!$N33,'Apportionment Bases'!$A$6:$A$33,0))</f>
        <v>0.5</v>
      </c>
      <c r="T33" s="195">
        <f>INDEX('Apportionment Bases'!AO$6:AO$33,MATCH('PC17'!$N33,'Apportionment Bases'!$A$6:$A$33,0))</f>
        <v>0.5</v>
      </c>
      <c r="V33" s="72">
        <f t="shared" si="69"/>
        <v>0</v>
      </c>
      <c r="W33" s="72">
        <f t="shared" si="70"/>
        <v>0</v>
      </c>
      <c r="X33" s="72">
        <f t="shared" si="97"/>
        <v>0</v>
      </c>
      <c r="Y33" s="72">
        <f t="shared" si="98"/>
        <v>2000</v>
      </c>
      <c r="Z33" s="72">
        <f t="shared" si="99"/>
        <v>2000</v>
      </c>
      <c r="AA33" s="272" t="str">
        <f t="shared" si="71"/>
        <v>TRUE</v>
      </c>
      <c r="AH33" s="301"/>
      <c r="AO33" s="72">
        <f t="shared" si="72"/>
        <v>0</v>
      </c>
      <c r="AP33" s="72">
        <f t="shared" si="73"/>
        <v>0</v>
      </c>
      <c r="AQ33" s="72">
        <f t="shared" si="74"/>
        <v>0</v>
      </c>
      <c r="AR33" s="72">
        <f t="shared" si="75"/>
        <v>1176.3999999999999</v>
      </c>
      <c r="AS33" s="72">
        <f t="shared" si="76"/>
        <v>2000</v>
      </c>
      <c r="AT33" s="301"/>
      <c r="AU33" s="72">
        <f t="shared" si="77"/>
        <v>0</v>
      </c>
      <c r="AV33" s="72">
        <f t="shared" si="78"/>
        <v>0</v>
      </c>
      <c r="AW33" s="72">
        <f t="shared" si="79"/>
        <v>0</v>
      </c>
      <c r="AX33" s="72">
        <f t="shared" si="80"/>
        <v>179.2</v>
      </c>
      <c r="AY33" s="72">
        <f t="shared" si="81"/>
        <v>0</v>
      </c>
      <c r="AZ33" s="301"/>
      <c r="BG33" s="72">
        <f t="shared" si="82"/>
        <v>0</v>
      </c>
      <c r="BH33" s="72">
        <f t="shared" si="83"/>
        <v>0</v>
      </c>
      <c r="BI33" s="72">
        <f t="shared" si="84"/>
        <v>0</v>
      </c>
      <c r="BJ33" s="72">
        <f t="shared" si="85"/>
        <v>408.2</v>
      </c>
      <c r="BK33" s="72">
        <f t="shared" si="86"/>
        <v>0</v>
      </c>
      <c r="BL33" s="301"/>
      <c r="CE33" s="72">
        <f t="shared" si="87"/>
        <v>0</v>
      </c>
      <c r="CF33" s="72">
        <f t="shared" si="88"/>
        <v>0</v>
      </c>
      <c r="CG33" s="72">
        <f t="shared" si="89"/>
        <v>0</v>
      </c>
      <c r="CH33" s="72">
        <f t="shared" si="90"/>
        <v>11.799999999999999</v>
      </c>
      <c r="CI33" s="72">
        <f t="shared" si="91"/>
        <v>0</v>
      </c>
      <c r="CJ33" s="301"/>
      <c r="CK33" s="72">
        <f t="shared" si="92"/>
        <v>0</v>
      </c>
      <c r="CL33" s="72">
        <f t="shared" si="93"/>
        <v>0</v>
      </c>
      <c r="CM33" s="72">
        <f t="shared" si="94"/>
        <v>0</v>
      </c>
      <c r="CN33" s="72">
        <f t="shared" si="95"/>
        <v>224.39999999999998</v>
      </c>
      <c r="CO33" s="72">
        <f t="shared" si="96"/>
        <v>0</v>
      </c>
      <c r="CP33" s="301"/>
    </row>
    <row r="34" spans="1:94" x14ac:dyDescent="0.25">
      <c r="A34" s="3" t="s">
        <v>246</v>
      </c>
      <c r="B34" s="3" t="s">
        <v>77</v>
      </c>
      <c r="C34" s="3" t="s">
        <v>45</v>
      </c>
      <c r="D34" s="3" t="s">
        <v>48</v>
      </c>
      <c r="E34" s="3" t="s">
        <v>48</v>
      </c>
      <c r="F34" s="3" t="s">
        <v>403</v>
      </c>
      <c r="G34" t="s">
        <v>78</v>
      </c>
      <c r="H34" s="67">
        <f t="shared" si="68"/>
        <v>3500</v>
      </c>
      <c r="I34" s="67">
        <f t="shared" si="68"/>
        <v>3500</v>
      </c>
      <c r="J34" s="67">
        <f t="shared" si="68"/>
        <v>3500</v>
      </c>
      <c r="K34" s="67">
        <f t="shared" si="68"/>
        <v>3500</v>
      </c>
      <c r="L34" s="705">
        <v>14000</v>
      </c>
      <c r="N34" s="209" t="s">
        <v>17</v>
      </c>
      <c r="P34" s="195">
        <f>INDEX('Apportionment Bases'!AK$6:AK$33,MATCH('PC17'!$N34,'Apportionment Bases'!$A$6:$A$33,0))</f>
        <v>0.25</v>
      </c>
      <c r="Q34" s="195">
        <f>INDEX('Apportionment Bases'!AL$6:AL$33,MATCH('PC17'!$N34,'Apportionment Bases'!$A$6:$A$33,0))</f>
        <v>0.5</v>
      </c>
      <c r="R34" s="195">
        <f>INDEX('Apportionment Bases'!AM$6:AM$33,MATCH('PC17'!$N34,'Apportionment Bases'!$A$6:$A$33,0))</f>
        <v>0.25</v>
      </c>
      <c r="S34" s="195">
        <f>INDEX('Apportionment Bases'!AN$6:AN$33,MATCH('PC17'!$N34,'Apportionment Bases'!$A$6:$A$33,0))</f>
        <v>0</v>
      </c>
      <c r="T34" s="195">
        <f>INDEX('Apportionment Bases'!AO$6:AO$33,MATCH('PC17'!$N34,'Apportionment Bases'!$A$6:$A$33,0))</f>
        <v>0</v>
      </c>
      <c r="V34" s="72">
        <f t="shared" si="69"/>
        <v>3500</v>
      </c>
      <c r="W34" s="72">
        <f t="shared" si="70"/>
        <v>7000</v>
      </c>
      <c r="X34" s="72">
        <f t="shared" si="97"/>
        <v>3500</v>
      </c>
      <c r="Y34" s="72">
        <f t="shared" si="98"/>
        <v>0</v>
      </c>
      <c r="Z34" s="72">
        <f t="shared" si="99"/>
        <v>0</v>
      </c>
      <c r="AA34" s="272" t="str">
        <f t="shared" si="71"/>
        <v>TRUE</v>
      </c>
      <c r="AH34" s="301"/>
      <c r="AO34" s="72">
        <f t="shared" si="72"/>
        <v>2225.3000000000002</v>
      </c>
      <c r="AP34" s="72">
        <f t="shared" si="73"/>
        <v>6967.988646219349</v>
      </c>
      <c r="AQ34" s="72">
        <f t="shared" si="74"/>
        <v>3500</v>
      </c>
      <c r="AR34" s="72">
        <f t="shared" si="75"/>
        <v>0</v>
      </c>
      <c r="AS34" s="72">
        <f t="shared" si="76"/>
        <v>0</v>
      </c>
      <c r="AT34" s="301"/>
      <c r="AU34" s="72">
        <f t="shared" si="77"/>
        <v>298.55</v>
      </c>
      <c r="AV34" s="72">
        <f t="shared" si="78"/>
        <v>7.2669452548030185</v>
      </c>
      <c r="AW34" s="72">
        <f t="shared" si="79"/>
        <v>0</v>
      </c>
      <c r="AX34" s="72">
        <f t="shared" si="80"/>
        <v>0</v>
      </c>
      <c r="AY34" s="72">
        <f t="shared" si="81"/>
        <v>0</v>
      </c>
      <c r="AZ34" s="301"/>
      <c r="BG34" s="72">
        <f t="shared" si="82"/>
        <v>518</v>
      </c>
      <c r="BH34" s="72">
        <f t="shared" si="83"/>
        <v>12.970117480091462</v>
      </c>
      <c r="BI34" s="72">
        <f t="shared" si="84"/>
        <v>0</v>
      </c>
      <c r="BJ34" s="72">
        <f t="shared" si="85"/>
        <v>0</v>
      </c>
      <c r="BK34" s="72">
        <f t="shared" si="86"/>
        <v>0</v>
      </c>
      <c r="BL34" s="301"/>
      <c r="CE34" s="72">
        <f t="shared" si="87"/>
        <v>12.950000000000001</v>
      </c>
      <c r="CF34" s="72">
        <f t="shared" si="88"/>
        <v>0.36794659517989964</v>
      </c>
      <c r="CG34" s="72">
        <f t="shared" si="89"/>
        <v>0</v>
      </c>
      <c r="CH34" s="72">
        <f t="shared" si="90"/>
        <v>0</v>
      </c>
      <c r="CI34" s="72">
        <f t="shared" si="91"/>
        <v>0</v>
      </c>
      <c r="CJ34" s="301"/>
      <c r="CK34" s="72">
        <f t="shared" si="92"/>
        <v>445.20000000000005</v>
      </c>
      <c r="CL34" s="72">
        <f t="shared" si="93"/>
        <v>11.406344450576889</v>
      </c>
      <c r="CM34" s="72">
        <f t="shared" si="94"/>
        <v>0</v>
      </c>
      <c r="CN34" s="72">
        <f t="shared" si="95"/>
        <v>0</v>
      </c>
      <c r="CO34" s="72">
        <f t="shared" si="96"/>
        <v>0</v>
      </c>
      <c r="CP34" s="301"/>
    </row>
    <row r="35" spans="1:94" x14ac:dyDescent="0.25">
      <c r="A35" s="3" t="s">
        <v>246</v>
      </c>
      <c r="B35" s="3" t="s">
        <v>79</v>
      </c>
      <c r="C35" s="3" t="s">
        <v>47</v>
      </c>
      <c r="D35" s="3" t="s">
        <v>48</v>
      </c>
      <c r="E35" s="3" t="s">
        <v>48</v>
      </c>
      <c r="F35" s="3" t="s">
        <v>404</v>
      </c>
      <c r="G35" t="s">
        <v>18</v>
      </c>
      <c r="H35" s="67">
        <f t="shared" si="68"/>
        <v>13000</v>
      </c>
      <c r="I35" s="67">
        <f t="shared" si="68"/>
        <v>13000</v>
      </c>
      <c r="J35" s="67">
        <f t="shared" si="68"/>
        <v>13000</v>
      </c>
      <c r="K35" s="67">
        <f t="shared" si="68"/>
        <v>13000</v>
      </c>
      <c r="L35" s="705">
        <v>52000</v>
      </c>
      <c r="N35" s="209" t="s">
        <v>3</v>
      </c>
      <c r="P35" s="195">
        <f>INDEX('Apportionment Bases'!AK$6:AK$33,MATCH('PC17'!$N35,'Apportionment Bases'!$A$6:$A$33,0))</f>
        <v>0</v>
      </c>
      <c r="Q35" s="195">
        <f>INDEX('Apportionment Bases'!AL$6:AL$33,MATCH('PC17'!$N35,'Apportionment Bases'!$A$6:$A$33,0))</f>
        <v>1</v>
      </c>
      <c r="R35" s="195">
        <f>INDEX('Apportionment Bases'!AM$6:AM$33,MATCH('PC17'!$N35,'Apportionment Bases'!$A$6:$A$33,0))</f>
        <v>0</v>
      </c>
      <c r="S35" s="195">
        <f>INDEX('Apportionment Bases'!AN$6:AN$33,MATCH('PC17'!$N35,'Apportionment Bases'!$A$6:$A$33,0))</f>
        <v>0</v>
      </c>
      <c r="T35" s="195">
        <f>INDEX('Apportionment Bases'!AO$6:AO$33,MATCH('PC17'!$N35,'Apportionment Bases'!$A$6:$A$33,0))</f>
        <v>0</v>
      </c>
      <c r="V35" s="72">
        <f t="shared" si="69"/>
        <v>0</v>
      </c>
      <c r="W35" s="72">
        <f t="shared" si="70"/>
        <v>52000</v>
      </c>
      <c r="X35" s="72">
        <f t="shared" si="97"/>
        <v>0</v>
      </c>
      <c r="Y35" s="72">
        <f t="shared" si="98"/>
        <v>0</v>
      </c>
      <c r="Z35" s="72">
        <f t="shared" si="99"/>
        <v>0</v>
      </c>
      <c r="AA35" s="272" t="str">
        <f t="shared" si="71"/>
        <v>TRUE</v>
      </c>
      <c r="AH35" s="301"/>
      <c r="AO35" s="72">
        <f t="shared" si="72"/>
        <v>0</v>
      </c>
      <c r="AP35" s="72">
        <f t="shared" si="73"/>
        <v>51762.201371915158</v>
      </c>
      <c r="AQ35" s="72">
        <f t="shared" si="74"/>
        <v>0</v>
      </c>
      <c r="AR35" s="72">
        <f t="shared" si="75"/>
        <v>0</v>
      </c>
      <c r="AS35" s="72">
        <f t="shared" si="76"/>
        <v>0</v>
      </c>
      <c r="AT35" s="301"/>
      <c r="AU35" s="72">
        <f t="shared" si="77"/>
        <v>0</v>
      </c>
      <c r="AV35" s="72">
        <f t="shared" si="78"/>
        <v>53.983021892822421</v>
      </c>
      <c r="AW35" s="72">
        <f t="shared" si="79"/>
        <v>0</v>
      </c>
      <c r="AX35" s="72">
        <f t="shared" si="80"/>
        <v>0</v>
      </c>
      <c r="AY35" s="72">
        <f t="shared" si="81"/>
        <v>0</v>
      </c>
      <c r="AZ35" s="301"/>
      <c r="BG35" s="72">
        <f t="shared" si="82"/>
        <v>0</v>
      </c>
      <c r="BH35" s="72">
        <f t="shared" si="83"/>
        <v>96.349444137822289</v>
      </c>
      <c r="BI35" s="72">
        <f t="shared" si="84"/>
        <v>0</v>
      </c>
      <c r="BJ35" s="72">
        <f t="shared" si="85"/>
        <v>0</v>
      </c>
      <c r="BK35" s="72">
        <f t="shared" si="86"/>
        <v>0</v>
      </c>
      <c r="BL35" s="301"/>
      <c r="CE35" s="72">
        <f t="shared" si="87"/>
        <v>0</v>
      </c>
      <c r="CF35" s="72">
        <f t="shared" si="88"/>
        <v>2.7333175641935403</v>
      </c>
      <c r="CG35" s="72">
        <f t="shared" si="89"/>
        <v>0</v>
      </c>
      <c r="CH35" s="72">
        <f t="shared" si="90"/>
        <v>0</v>
      </c>
      <c r="CI35" s="72">
        <f t="shared" si="91"/>
        <v>0</v>
      </c>
      <c r="CJ35" s="301"/>
      <c r="CK35" s="72">
        <f t="shared" si="92"/>
        <v>0</v>
      </c>
      <c r="CL35" s="72">
        <f t="shared" si="93"/>
        <v>84.732844489999735</v>
      </c>
      <c r="CM35" s="72">
        <f t="shared" si="94"/>
        <v>0</v>
      </c>
      <c r="CN35" s="72">
        <f t="shared" si="95"/>
        <v>0</v>
      </c>
      <c r="CO35" s="72">
        <f t="shared" si="96"/>
        <v>0</v>
      </c>
      <c r="CP35" s="301"/>
    </row>
    <row r="36" spans="1:94" x14ac:dyDescent="0.25">
      <c r="A36" s="3" t="s">
        <v>246</v>
      </c>
      <c r="B36" s="3" t="s">
        <v>80</v>
      </c>
      <c r="C36" s="3" t="s">
        <v>47</v>
      </c>
      <c r="D36" s="3" t="s">
        <v>48</v>
      </c>
      <c r="E36" s="3" t="s">
        <v>48</v>
      </c>
      <c r="F36" s="3" t="s">
        <v>405</v>
      </c>
      <c r="G36" t="s">
        <v>81</v>
      </c>
      <c r="H36" s="67">
        <f t="shared" si="68"/>
        <v>18750</v>
      </c>
      <c r="I36" s="67">
        <f t="shared" si="68"/>
        <v>18750</v>
      </c>
      <c r="J36" s="67">
        <f t="shared" si="68"/>
        <v>18750</v>
      </c>
      <c r="K36" s="67">
        <f t="shared" si="68"/>
        <v>18750</v>
      </c>
      <c r="L36" s="705">
        <v>75000</v>
      </c>
      <c r="N36" s="209" t="s">
        <v>705</v>
      </c>
      <c r="P36" s="195">
        <f>INDEX('Apportionment Bases'!AK$6:AK$33,MATCH('PC17'!$N36,'Apportionment Bases'!$A$6:$A$33,0))</f>
        <v>0</v>
      </c>
      <c r="Q36" s="195">
        <f>INDEX('Apportionment Bases'!AL$6:AL$33,MATCH('PC17'!$N36,'Apportionment Bases'!$A$6:$A$33,0))</f>
        <v>0</v>
      </c>
      <c r="R36" s="195">
        <f>INDEX('Apportionment Bases'!AM$6:AM$33,MATCH('PC17'!$N36,'Apportionment Bases'!$A$6:$A$33,0))</f>
        <v>0</v>
      </c>
      <c r="S36" s="195">
        <f>INDEX('Apportionment Bases'!AN$6:AN$33,MATCH('PC17'!$N36,'Apportionment Bases'!$A$6:$A$33,0))</f>
        <v>0.5</v>
      </c>
      <c r="T36" s="195">
        <f>INDEX('Apportionment Bases'!AO$6:AO$33,MATCH('PC17'!$N36,'Apportionment Bases'!$A$6:$A$33,0))</f>
        <v>0.5</v>
      </c>
      <c r="V36" s="72">
        <f t="shared" si="69"/>
        <v>0</v>
      </c>
      <c r="W36" s="72">
        <f t="shared" si="70"/>
        <v>0</v>
      </c>
      <c r="X36" s="72">
        <f t="shared" si="97"/>
        <v>0</v>
      </c>
      <c r="Y36" s="72">
        <f t="shared" si="98"/>
        <v>37500</v>
      </c>
      <c r="Z36" s="72">
        <f t="shared" si="99"/>
        <v>37500</v>
      </c>
      <c r="AA36" s="272" t="str">
        <f t="shared" si="71"/>
        <v>TRUE</v>
      </c>
      <c r="AH36" s="301"/>
      <c r="AO36" s="72">
        <f t="shared" si="72"/>
        <v>0</v>
      </c>
      <c r="AP36" s="72">
        <f t="shared" si="73"/>
        <v>0</v>
      </c>
      <c r="AQ36" s="72">
        <f t="shared" si="74"/>
        <v>0</v>
      </c>
      <c r="AR36" s="72">
        <f t="shared" si="75"/>
        <v>22057.499999999996</v>
      </c>
      <c r="AS36" s="72">
        <f t="shared" si="76"/>
        <v>37500</v>
      </c>
      <c r="AT36" s="301"/>
      <c r="AU36" s="72">
        <f t="shared" si="77"/>
        <v>0</v>
      </c>
      <c r="AV36" s="72">
        <f t="shared" si="78"/>
        <v>0</v>
      </c>
      <c r="AW36" s="72">
        <f t="shared" si="79"/>
        <v>0</v>
      </c>
      <c r="AX36" s="72">
        <f t="shared" si="80"/>
        <v>3360</v>
      </c>
      <c r="AY36" s="72">
        <f t="shared" si="81"/>
        <v>0</v>
      </c>
      <c r="AZ36" s="301"/>
      <c r="BG36" s="72">
        <f t="shared" si="82"/>
        <v>0</v>
      </c>
      <c r="BH36" s="72">
        <f t="shared" si="83"/>
        <v>0</v>
      </c>
      <c r="BI36" s="72">
        <f t="shared" si="84"/>
        <v>0</v>
      </c>
      <c r="BJ36" s="72">
        <f t="shared" si="85"/>
        <v>7653.75</v>
      </c>
      <c r="BK36" s="72">
        <f t="shared" si="86"/>
        <v>0</v>
      </c>
      <c r="BL36" s="301"/>
      <c r="CE36" s="72">
        <f t="shared" si="87"/>
        <v>0</v>
      </c>
      <c r="CF36" s="72">
        <f t="shared" si="88"/>
        <v>0</v>
      </c>
      <c r="CG36" s="72">
        <f t="shared" si="89"/>
        <v>0</v>
      </c>
      <c r="CH36" s="72">
        <f t="shared" si="90"/>
        <v>221.25</v>
      </c>
      <c r="CI36" s="72">
        <f t="shared" si="91"/>
        <v>0</v>
      </c>
      <c r="CJ36" s="301"/>
      <c r="CK36" s="72">
        <f t="shared" si="92"/>
        <v>0</v>
      </c>
      <c r="CL36" s="72">
        <f t="shared" si="93"/>
        <v>0</v>
      </c>
      <c r="CM36" s="72">
        <f t="shared" si="94"/>
        <v>0</v>
      </c>
      <c r="CN36" s="72">
        <f t="shared" si="95"/>
        <v>4207.5</v>
      </c>
      <c r="CO36" s="72">
        <f t="shared" si="96"/>
        <v>0</v>
      </c>
      <c r="CP36" s="301"/>
    </row>
    <row r="37" spans="1:94" x14ac:dyDescent="0.25">
      <c r="A37" s="3" t="s">
        <v>246</v>
      </c>
      <c r="B37" s="3" t="s">
        <v>82</v>
      </c>
      <c r="C37" s="3" t="s">
        <v>47</v>
      </c>
      <c r="D37" s="3" t="s">
        <v>48</v>
      </c>
      <c r="E37" s="3" t="s">
        <v>48</v>
      </c>
      <c r="F37" s="3" t="s">
        <v>406</v>
      </c>
      <c r="G37" t="s">
        <v>19</v>
      </c>
      <c r="H37" s="67">
        <f t="shared" si="68"/>
        <v>1250</v>
      </c>
      <c r="I37" s="67">
        <f t="shared" si="68"/>
        <v>1250</v>
      </c>
      <c r="J37" s="67">
        <f t="shared" si="68"/>
        <v>1250</v>
      </c>
      <c r="K37" s="67">
        <f t="shared" si="68"/>
        <v>1250</v>
      </c>
      <c r="L37" s="705">
        <v>5000</v>
      </c>
      <c r="N37" s="209" t="s">
        <v>705</v>
      </c>
      <c r="P37" s="195">
        <f>INDEX('Apportionment Bases'!AK$6:AK$33,MATCH('PC17'!$N37,'Apportionment Bases'!$A$6:$A$33,0))</f>
        <v>0</v>
      </c>
      <c r="Q37" s="195">
        <f>INDEX('Apportionment Bases'!AL$6:AL$33,MATCH('PC17'!$N37,'Apportionment Bases'!$A$6:$A$33,0))</f>
        <v>0</v>
      </c>
      <c r="R37" s="195">
        <f>INDEX('Apportionment Bases'!AM$6:AM$33,MATCH('PC17'!$N37,'Apportionment Bases'!$A$6:$A$33,0))</f>
        <v>0</v>
      </c>
      <c r="S37" s="195">
        <f>INDEX('Apportionment Bases'!AN$6:AN$33,MATCH('PC17'!$N37,'Apportionment Bases'!$A$6:$A$33,0))</f>
        <v>0.5</v>
      </c>
      <c r="T37" s="195">
        <f>INDEX('Apportionment Bases'!AO$6:AO$33,MATCH('PC17'!$N37,'Apportionment Bases'!$A$6:$A$33,0))</f>
        <v>0.5</v>
      </c>
      <c r="V37" s="72">
        <f t="shared" si="69"/>
        <v>0</v>
      </c>
      <c r="W37" s="72">
        <f t="shared" si="70"/>
        <v>0</v>
      </c>
      <c r="X37" s="72">
        <f t="shared" si="97"/>
        <v>0</v>
      </c>
      <c r="Y37" s="72">
        <f t="shared" si="98"/>
        <v>2500</v>
      </c>
      <c r="Z37" s="72">
        <f t="shared" si="99"/>
        <v>2500</v>
      </c>
      <c r="AA37" s="272" t="str">
        <f t="shared" si="71"/>
        <v>TRUE</v>
      </c>
      <c r="AH37" s="301"/>
      <c r="AO37" s="72">
        <f t="shared" si="72"/>
        <v>0</v>
      </c>
      <c r="AP37" s="72">
        <f t="shared" si="73"/>
        <v>0</v>
      </c>
      <c r="AQ37" s="72">
        <f t="shared" si="74"/>
        <v>0</v>
      </c>
      <c r="AR37" s="72">
        <f t="shared" si="75"/>
        <v>1470.4999999999998</v>
      </c>
      <c r="AS37" s="72">
        <f t="shared" si="76"/>
        <v>2500</v>
      </c>
      <c r="AT37" s="301"/>
      <c r="AU37" s="72">
        <f t="shared" si="77"/>
        <v>0</v>
      </c>
      <c r="AV37" s="72">
        <f t="shared" si="78"/>
        <v>0</v>
      </c>
      <c r="AW37" s="72">
        <f t="shared" si="79"/>
        <v>0</v>
      </c>
      <c r="AX37" s="72">
        <f t="shared" si="80"/>
        <v>224</v>
      </c>
      <c r="AY37" s="72">
        <f t="shared" si="81"/>
        <v>0</v>
      </c>
      <c r="AZ37" s="301"/>
      <c r="BG37" s="72">
        <f t="shared" si="82"/>
        <v>0</v>
      </c>
      <c r="BH37" s="72">
        <f t="shared" si="83"/>
        <v>0</v>
      </c>
      <c r="BI37" s="72">
        <f t="shared" si="84"/>
        <v>0</v>
      </c>
      <c r="BJ37" s="72">
        <f t="shared" si="85"/>
        <v>510.25</v>
      </c>
      <c r="BK37" s="72">
        <f t="shared" si="86"/>
        <v>0</v>
      </c>
      <c r="BL37" s="301"/>
      <c r="CE37" s="72">
        <f t="shared" si="87"/>
        <v>0</v>
      </c>
      <c r="CF37" s="72">
        <f t="shared" si="88"/>
        <v>0</v>
      </c>
      <c r="CG37" s="72">
        <f t="shared" si="89"/>
        <v>0</v>
      </c>
      <c r="CH37" s="72">
        <f t="shared" si="90"/>
        <v>14.75</v>
      </c>
      <c r="CI37" s="72">
        <f t="shared" si="91"/>
        <v>0</v>
      </c>
      <c r="CJ37" s="301"/>
      <c r="CK37" s="72">
        <f t="shared" si="92"/>
        <v>0</v>
      </c>
      <c r="CL37" s="72">
        <f t="shared" si="93"/>
        <v>0</v>
      </c>
      <c r="CM37" s="72">
        <f t="shared" si="94"/>
        <v>0</v>
      </c>
      <c r="CN37" s="72">
        <f t="shared" si="95"/>
        <v>280.5</v>
      </c>
      <c r="CO37" s="72">
        <f t="shared" si="96"/>
        <v>0</v>
      </c>
      <c r="CP37" s="301"/>
    </row>
    <row r="38" spans="1:94" x14ac:dyDescent="0.25">
      <c r="A38" s="3" t="s">
        <v>246</v>
      </c>
      <c r="B38" s="3" t="s">
        <v>82</v>
      </c>
      <c r="C38" s="3" t="s">
        <v>45</v>
      </c>
      <c r="D38" s="3" t="s">
        <v>48</v>
      </c>
      <c r="E38" s="3" t="s">
        <v>48</v>
      </c>
      <c r="F38" s="3" t="s">
        <v>407</v>
      </c>
      <c r="G38" t="s">
        <v>19</v>
      </c>
      <c r="H38" s="67">
        <f t="shared" si="68"/>
        <v>31250</v>
      </c>
      <c r="I38" s="67">
        <f t="shared" si="68"/>
        <v>31250</v>
      </c>
      <c r="J38" s="67">
        <f t="shared" si="68"/>
        <v>31250</v>
      </c>
      <c r="K38" s="67">
        <f t="shared" si="68"/>
        <v>31250</v>
      </c>
      <c r="L38" s="705">
        <v>125000</v>
      </c>
      <c r="N38" s="209" t="s">
        <v>705</v>
      </c>
      <c r="P38" s="195">
        <f>INDEX('Apportionment Bases'!AK$6:AK$33,MATCH('PC17'!$N38,'Apportionment Bases'!$A$6:$A$33,0))</f>
        <v>0</v>
      </c>
      <c r="Q38" s="195">
        <f>INDEX('Apportionment Bases'!AL$6:AL$33,MATCH('PC17'!$N38,'Apportionment Bases'!$A$6:$A$33,0))</f>
        <v>0</v>
      </c>
      <c r="R38" s="195">
        <f>INDEX('Apportionment Bases'!AM$6:AM$33,MATCH('PC17'!$N38,'Apportionment Bases'!$A$6:$A$33,0))</f>
        <v>0</v>
      </c>
      <c r="S38" s="195">
        <f>INDEX('Apportionment Bases'!AN$6:AN$33,MATCH('PC17'!$N38,'Apportionment Bases'!$A$6:$A$33,0))</f>
        <v>0.5</v>
      </c>
      <c r="T38" s="195">
        <f>INDEX('Apportionment Bases'!AO$6:AO$33,MATCH('PC17'!$N38,'Apportionment Bases'!$A$6:$A$33,0))</f>
        <v>0.5</v>
      </c>
      <c r="V38" s="72">
        <f t="shared" si="69"/>
        <v>0</v>
      </c>
      <c r="W38" s="72">
        <f t="shared" si="70"/>
        <v>0</v>
      </c>
      <c r="X38" s="72">
        <f t="shared" si="97"/>
        <v>0</v>
      </c>
      <c r="Y38" s="72">
        <f t="shared" si="98"/>
        <v>62500</v>
      </c>
      <c r="Z38" s="72">
        <f t="shared" si="99"/>
        <v>62500</v>
      </c>
      <c r="AA38" s="272" t="str">
        <f t="shared" si="71"/>
        <v>TRUE</v>
      </c>
      <c r="AH38" s="301"/>
      <c r="AO38" s="72">
        <f t="shared" si="72"/>
        <v>0</v>
      </c>
      <c r="AP38" s="72">
        <f t="shared" si="73"/>
        <v>0</v>
      </c>
      <c r="AQ38" s="72">
        <f t="shared" si="74"/>
        <v>0</v>
      </c>
      <c r="AR38" s="72">
        <f t="shared" si="75"/>
        <v>36762.5</v>
      </c>
      <c r="AS38" s="72">
        <f t="shared" si="76"/>
        <v>62500</v>
      </c>
      <c r="AT38" s="301"/>
      <c r="AU38" s="72">
        <f t="shared" si="77"/>
        <v>0</v>
      </c>
      <c r="AV38" s="72">
        <f t="shared" si="78"/>
        <v>0</v>
      </c>
      <c r="AW38" s="72">
        <f t="shared" si="79"/>
        <v>0</v>
      </c>
      <c r="AX38" s="72">
        <f t="shared" si="80"/>
        <v>5600</v>
      </c>
      <c r="AY38" s="72">
        <f t="shared" si="81"/>
        <v>0</v>
      </c>
      <c r="AZ38" s="301"/>
      <c r="BG38" s="72">
        <f t="shared" si="82"/>
        <v>0</v>
      </c>
      <c r="BH38" s="72">
        <f t="shared" si="83"/>
        <v>0</v>
      </c>
      <c r="BI38" s="72">
        <f t="shared" si="84"/>
        <v>0</v>
      </c>
      <c r="BJ38" s="72">
        <f t="shared" si="85"/>
        <v>12756.25</v>
      </c>
      <c r="BK38" s="72">
        <f t="shared" si="86"/>
        <v>0</v>
      </c>
      <c r="BL38" s="301"/>
      <c r="CE38" s="72">
        <f t="shared" si="87"/>
        <v>0</v>
      </c>
      <c r="CF38" s="72">
        <f t="shared" si="88"/>
        <v>0</v>
      </c>
      <c r="CG38" s="72">
        <f t="shared" si="89"/>
        <v>0</v>
      </c>
      <c r="CH38" s="72">
        <f t="shared" si="90"/>
        <v>368.75</v>
      </c>
      <c r="CI38" s="72">
        <f t="shared" si="91"/>
        <v>0</v>
      </c>
      <c r="CJ38" s="301"/>
      <c r="CK38" s="72">
        <f t="shared" si="92"/>
        <v>0</v>
      </c>
      <c r="CL38" s="72">
        <f t="shared" si="93"/>
        <v>0</v>
      </c>
      <c r="CM38" s="72">
        <f t="shared" si="94"/>
        <v>0</v>
      </c>
      <c r="CN38" s="72">
        <f t="shared" si="95"/>
        <v>7012.5</v>
      </c>
      <c r="CO38" s="72">
        <f t="shared" si="96"/>
        <v>0</v>
      </c>
      <c r="CP38" s="301"/>
    </row>
    <row r="39" spans="1:94" x14ac:dyDescent="0.25">
      <c r="A39" s="3" t="s">
        <v>246</v>
      </c>
      <c r="B39" s="3" t="s">
        <v>83</v>
      </c>
      <c r="C39" s="3" t="s">
        <v>47</v>
      </c>
      <c r="D39" s="3" t="s">
        <v>48</v>
      </c>
      <c r="E39" s="3" t="s">
        <v>48</v>
      </c>
      <c r="F39" s="3" t="s">
        <v>408</v>
      </c>
      <c r="G39" t="s">
        <v>20</v>
      </c>
      <c r="H39" s="67">
        <f t="shared" si="68"/>
        <v>1250</v>
      </c>
      <c r="I39" s="67">
        <f t="shared" si="68"/>
        <v>1250</v>
      </c>
      <c r="J39" s="67">
        <f t="shared" si="68"/>
        <v>1250</v>
      </c>
      <c r="K39" s="67">
        <f t="shared" si="68"/>
        <v>1250</v>
      </c>
      <c r="L39" s="705">
        <v>5000</v>
      </c>
      <c r="N39" s="209" t="s">
        <v>705</v>
      </c>
      <c r="P39" s="195">
        <f>INDEX('Apportionment Bases'!AK$6:AK$33,MATCH('PC17'!$N39,'Apportionment Bases'!$A$6:$A$33,0))</f>
        <v>0</v>
      </c>
      <c r="Q39" s="195">
        <f>INDEX('Apportionment Bases'!AL$6:AL$33,MATCH('PC17'!$N39,'Apportionment Bases'!$A$6:$A$33,0))</f>
        <v>0</v>
      </c>
      <c r="R39" s="195">
        <f>INDEX('Apportionment Bases'!AM$6:AM$33,MATCH('PC17'!$N39,'Apportionment Bases'!$A$6:$A$33,0))</f>
        <v>0</v>
      </c>
      <c r="S39" s="195">
        <f>INDEX('Apportionment Bases'!AN$6:AN$33,MATCH('PC17'!$N39,'Apportionment Bases'!$A$6:$A$33,0))</f>
        <v>0.5</v>
      </c>
      <c r="T39" s="195">
        <f>INDEX('Apportionment Bases'!AO$6:AO$33,MATCH('PC17'!$N39,'Apportionment Bases'!$A$6:$A$33,0))</f>
        <v>0.5</v>
      </c>
      <c r="V39" s="72">
        <f t="shared" si="69"/>
        <v>0</v>
      </c>
      <c r="W39" s="72">
        <f t="shared" si="70"/>
        <v>0</v>
      </c>
      <c r="X39" s="72">
        <f t="shared" si="97"/>
        <v>0</v>
      </c>
      <c r="Y39" s="72">
        <f t="shared" si="98"/>
        <v>2500</v>
      </c>
      <c r="Z39" s="72">
        <f t="shared" si="99"/>
        <v>2500</v>
      </c>
      <c r="AA39" s="272" t="str">
        <f t="shared" si="71"/>
        <v>TRUE</v>
      </c>
      <c r="AH39" s="301"/>
      <c r="AO39" s="72">
        <f t="shared" si="72"/>
        <v>0</v>
      </c>
      <c r="AP39" s="72">
        <f t="shared" si="73"/>
        <v>0</v>
      </c>
      <c r="AQ39" s="72">
        <f t="shared" si="74"/>
        <v>0</v>
      </c>
      <c r="AR39" s="72">
        <f t="shared" si="75"/>
        <v>1470.4999999999998</v>
      </c>
      <c r="AS39" s="72">
        <f t="shared" si="76"/>
        <v>2500</v>
      </c>
      <c r="AT39" s="301"/>
      <c r="AU39" s="72">
        <f t="shared" si="77"/>
        <v>0</v>
      </c>
      <c r="AV39" s="72">
        <f t="shared" si="78"/>
        <v>0</v>
      </c>
      <c r="AW39" s="72">
        <f t="shared" si="79"/>
        <v>0</v>
      </c>
      <c r="AX39" s="72">
        <f t="shared" si="80"/>
        <v>224</v>
      </c>
      <c r="AY39" s="72">
        <f t="shared" si="81"/>
        <v>0</v>
      </c>
      <c r="AZ39" s="301"/>
      <c r="BG39" s="72">
        <f t="shared" si="82"/>
        <v>0</v>
      </c>
      <c r="BH39" s="72">
        <f t="shared" si="83"/>
        <v>0</v>
      </c>
      <c r="BI39" s="72">
        <f t="shared" si="84"/>
        <v>0</v>
      </c>
      <c r="BJ39" s="72">
        <f t="shared" si="85"/>
        <v>510.25</v>
      </c>
      <c r="BK39" s="72">
        <f t="shared" si="86"/>
        <v>0</v>
      </c>
      <c r="BL39" s="301"/>
      <c r="CE39" s="72">
        <f t="shared" si="87"/>
        <v>0</v>
      </c>
      <c r="CF39" s="72">
        <f t="shared" si="88"/>
        <v>0</v>
      </c>
      <c r="CG39" s="72">
        <f t="shared" si="89"/>
        <v>0</v>
      </c>
      <c r="CH39" s="72">
        <f t="shared" si="90"/>
        <v>14.75</v>
      </c>
      <c r="CI39" s="72">
        <f t="shared" si="91"/>
        <v>0</v>
      </c>
      <c r="CJ39" s="301"/>
      <c r="CK39" s="72">
        <f t="shared" si="92"/>
        <v>0</v>
      </c>
      <c r="CL39" s="72">
        <f t="shared" si="93"/>
        <v>0</v>
      </c>
      <c r="CM39" s="72">
        <f t="shared" si="94"/>
        <v>0</v>
      </c>
      <c r="CN39" s="72">
        <f t="shared" si="95"/>
        <v>280.5</v>
      </c>
      <c r="CO39" s="72">
        <f t="shared" si="96"/>
        <v>0</v>
      </c>
      <c r="CP39" s="301"/>
    </row>
    <row r="40" spans="1:94" x14ac:dyDescent="0.25">
      <c r="A40" s="3" t="s">
        <v>246</v>
      </c>
      <c r="B40" s="3" t="s">
        <v>83</v>
      </c>
      <c r="C40" s="3" t="s">
        <v>45</v>
      </c>
      <c r="D40" s="3" t="s">
        <v>48</v>
      </c>
      <c r="E40" s="3" t="s">
        <v>48</v>
      </c>
      <c r="F40" s="3" t="s">
        <v>409</v>
      </c>
      <c r="G40" t="s">
        <v>20</v>
      </c>
      <c r="H40" s="67">
        <f t="shared" ref="H40:K89" si="100">$L40/4</f>
        <v>5625</v>
      </c>
      <c r="I40" s="67">
        <f t="shared" si="100"/>
        <v>5625</v>
      </c>
      <c r="J40" s="67">
        <f t="shared" si="100"/>
        <v>5625</v>
      </c>
      <c r="K40" s="67">
        <f t="shared" si="100"/>
        <v>5625</v>
      </c>
      <c r="L40" s="705">
        <v>22500</v>
      </c>
      <c r="N40" s="209" t="s">
        <v>705</v>
      </c>
      <c r="P40" s="195">
        <f>INDEX('Apportionment Bases'!AK$6:AK$33,MATCH('PC17'!$N40,'Apportionment Bases'!$A$6:$A$33,0))</f>
        <v>0</v>
      </c>
      <c r="Q40" s="195">
        <f>INDEX('Apportionment Bases'!AL$6:AL$33,MATCH('PC17'!$N40,'Apportionment Bases'!$A$6:$A$33,0))</f>
        <v>0</v>
      </c>
      <c r="R40" s="195">
        <f>INDEX('Apportionment Bases'!AM$6:AM$33,MATCH('PC17'!$N40,'Apportionment Bases'!$A$6:$A$33,0))</f>
        <v>0</v>
      </c>
      <c r="S40" s="195">
        <f>INDEX('Apportionment Bases'!AN$6:AN$33,MATCH('PC17'!$N40,'Apportionment Bases'!$A$6:$A$33,0))</f>
        <v>0.5</v>
      </c>
      <c r="T40" s="195">
        <f>INDEX('Apportionment Bases'!AO$6:AO$33,MATCH('PC17'!$N40,'Apportionment Bases'!$A$6:$A$33,0))</f>
        <v>0.5</v>
      </c>
      <c r="V40" s="72">
        <f t="shared" si="69"/>
        <v>0</v>
      </c>
      <c r="W40" s="72">
        <f t="shared" si="70"/>
        <v>0</v>
      </c>
      <c r="X40" s="72">
        <f t="shared" si="97"/>
        <v>0</v>
      </c>
      <c r="Y40" s="72">
        <f t="shared" si="98"/>
        <v>11250</v>
      </c>
      <c r="Z40" s="72">
        <f t="shared" si="99"/>
        <v>11250</v>
      </c>
      <c r="AA40" s="272" t="str">
        <f t="shared" si="71"/>
        <v>TRUE</v>
      </c>
      <c r="AH40" s="301"/>
      <c r="AO40" s="72">
        <f t="shared" si="72"/>
        <v>0</v>
      </c>
      <c r="AP40" s="72">
        <f t="shared" si="73"/>
        <v>0</v>
      </c>
      <c r="AQ40" s="72">
        <f t="shared" si="74"/>
        <v>0</v>
      </c>
      <c r="AR40" s="72">
        <f t="shared" si="75"/>
        <v>6617.2499999999991</v>
      </c>
      <c r="AS40" s="72">
        <f t="shared" si="76"/>
        <v>11250</v>
      </c>
      <c r="AT40" s="301"/>
      <c r="AU40" s="72">
        <f t="shared" si="77"/>
        <v>0</v>
      </c>
      <c r="AV40" s="72">
        <f t="shared" si="78"/>
        <v>0</v>
      </c>
      <c r="AW40" s="72">
        <f t="shared" si="79"/>
        <v>0</v>
      </c>
      <c r="AX40" s="72">
        <f t="shared" si="80"/>
        <v>1008</v>
      </c>
      <c r="AY40" s="72">
        <f t="shared" si="81"/>
        <v>0</v>
      </c>
      <c r="AZ40" s="301"/>
      <c r="BG40" s="72">
        <f t="shared" si="82"/>
        <v>0</v>
      </c>
      <c r="BH40" s="72">
        <f t="shared" si="83"/>
        <v>0</v>
      </c>
      <c r="BI40" s="72">
        <f t="shared" si="84"/>
        <v>0</v>
      </c>
      <c r="BJ40" s="72">
        <f t="shared" si="85"/>
        <v>2296.125</v>
      </c>
      <c r="BK40" s="72">
        <f t="shared" si="86"/>
        <v>0</v>
      </c>
      <c r="BL40" s="301"/>
      <c r="CE40" s="72">
        <f t="shared" si="87"/>
        <v>0</v>
      </c>
      <c r="CF40" s="72">
        <f t="shared" si="88"/>
        <v>0</v>
      </c>
      <c r="CG40" s="72">
        <f t="shared" si="89"/>
        <v>0</v>
      </c>
      <c r="CH40" s="72">
        <f t="shared" si="90"/>
        <v>66.375</v>
      </c>
      <c r="CI40" s="72">
        <f t="shared" si="91"/>
        <v>0</v>
      </c>
      <c r="CJ40" s="301"/>
      <c r="CK40" s="72">
        <f t="shared" si="92"/>
        <v>0</v>
      </c>
      <c r="CL40" s="72">
        <f t="shared" si="93"/>
        <v>0</v>
      </c>
      <c r="CM40" s="72">
        <f t="shared" si="94"/>
        <v>0</v>
      </c>
      <c r="CN40" s="72">
        <f t="shared" si="95"/>
        <v>1262.25</v>
      </c>
      <c r="CO40" s="72">
        <f t="shared" si="96"/>
        <v>0</v>
      </c>
      <c r="CP40" s="301"/>
    </row>
    <row r="41" spans="1:94" x14ac:dyDescent="0.25">
      <c r="A41" s="3" t="s">
        <v>246</v>
      </c>
      <c r="B41" s="3" t="s">
        <v>84</v>
      </c>
      <c r="C41" s="3" t="s">
        <v>47</v>
      </c>
      <c r="D41" s="3" t="s">
        <v>48</v>
      </c>
      <c r="E41" s="3" t="s">
        <v>48</v>
      </c>
      <c r="F41" s="3" t="s">
        <v>410</v>
      </c>
      <c r="G41" t="s">
        <v>21</v>
      </c>
      <c r="H41" s="67">
        <f t="shared" si="100"/>
        <v>0</v>
      </c>
      <c r="I41" s="67">
        <f t="shared" si="100"/>
        <v>0</v>
      </c>
      <c r="J41" s="67">
        <f t="shared" si="100"/>
        <v>0</v>
      </c>
      <c r="K41" s="67">
        <f t="shared" si="100"/>
        <v>0</v>
      </c>
      <c r="L41" s="705">
        <v>0</v>
      </c>
      <c r="N41" s="209" t="s">
        <v>705</v>
      </c>
      <c r="P41" s="195">
        <f>INDEX('Apportionment Bases'!AK$6:AK$33,MATCH('PC17'!$N41,'Apportionment Bases'!$A$6:$A$33,0))</f>
        <v>0</v>
      </c>
      <c r="Q41" s="195">
        <f>INDEX('Apportionment Bases'!AL$6:AL$33,MATCH('PC17'!$N41,'Apportionment Bases'!$A$6:$A$33,0))</f>
        <v>0</v>
      </c>
      <c r="R41" s="195">
        <f>INDEX('Apportionment Bases'!AM$6:AM$33,MATCH('PC17'!$N41,'Apportionment Bases'!$A$6:$A$33,0))</f>
        <v>0</v>
      </c>
      <c r="S41" s="195">
        <f>INDEX('Apportionment Bases'!AN$6:AN$33,MATCH('PC17'!$N41,'Apportionment Bases'!$A$6:$A$33,0))</f>
        <v>0.5</v>
      </c>
      <c r="T41" s="195">
        <f>INDEX('Apportionment Bases'!AO$6:AO$33,MATCH('PC17'!$N41,'Apportionment Bases'!$A$6:$A$33,0))</f>
        <v>0.5</v>
      </c>
      <c r="V41" s="72">
        <f t="shared" si="69"/>
        <v>0</v>
      </c>
      <c r="W41" s="72">
        <f t="shared" si="70"/>
        <v>0</v>
      </c>
      <c r="X41" s="72">
        <f t="shared" si="97"/>
        <v>0</v>
      </c>
      <c r="Y41" s="72">
        <f t="shared" si="98"/>
        <v>0</v>
      </c>
      <c r="Z41" s="72">
        <f t="shared" si="99"/>
        <v>0</v>
      </c>
      <c r="AA41" s="272" t="str">
        <f t="shared" si="71"/>
        <v>TRUE</v>
      </c>
      <c r="AH41" s="301"/>
      <c r="AO41" s="72">
        <f t="shared" si="72"/>
        <v>0</v>
      </c>
      <c r="AP41" s="72">
        <f t="shared" si="73"/>
        <v>0</v>
      </c>
      <c r="AQ41" s="72">
        <f t="shared" si="74"/>
        <v>0</v>
      </c>
      <c r="AR41" s="72">
        <f t="shared" si="75"/>
        <v>0</v>
      </c>
      <c r="AS41" s="72">
        <f t="shared" si="76"/>
        <v>0</v>
      </c>
      <c r="AT41" s="301"/>
      <c r="AU41" s="72">
        <f t="shared" si="77"/>
        <v>0</v>
      </c>
      <c r="AV41" s="72">
        <f t="shared" si="78"/>
        <v>0</v>
      </c>
      <c r="AW41" s="72">
        <f t="shared" si="79"/>
        <v>0</v>
      </c>
      <c r="AX41" s="72">
        <f t="shared" si="80"/>
        <v>0</v>
      </c>
      <c r="AY41" s="72">
        <f t="shared" si="81"/>
        <v>0</v>
      </c>
      <c r="AZ41" s="301"/>
      <c r="BG41" s="72">
        <f t="shared" si="82"/>
        <v>0</v>
      </c>
      <c r="BH41" s="72">
        <f t="shared" si="83"/>
        <v>0</v>
      </c>
      <c r="BI41" s="72">
        <f t="shared" si="84"/>
        <v>0</v>
      </c>
      <c r="BJ41" s="72">
        <f t="shared" si="85"/>
        <v>0</v>
      </c>
      <c r="BK41" s="72">
        <f t="shared" si="86"/>
        <v>0</v>
      </c>
      <c r="BL41" s="301"/>
      <c r="CE41" s="72">
        <f t="shared" si="87"/>
        <v>0</v>
      </c>
      <c r="CF41" s="72">
        <f t="shared" si="88"/>
        <v>0</v>
      </c>
      <c r="CG41" s="72">
        <f t="shared" si="89"/>
        <v>0</v>
      </c>
      <c r="CH41" s="72">
        <f t="shared" si="90"/>
        <v>0</v>
      </c>
      <c r="CI41" s="72">
        <f t="shared" si="91"/>
        <v>0</v>
      </c>
      <c r="CJ41" s="301"/>
      <c r="CK41" s="72">
        <f t="shared" si="92"/>
        <v>0</v>
      </c>
      <c r="CL41" s="72">
        <f t="shared" si="93"/>
        <v>0</v>
      </c>
      <c r="CM41" s="72">
        <f t="shared" si="94"/>
        <v>0</v>
      </c>
      <c r="CN41" s="72">
        <f t="shared" si="95"/>
        <v>0</v>
      </c>
      <c r="CO41" s="72">
        <f t="shared" si="96"/>
        <v>0</v>
      </c>
      <c r="CP41" s="301"/>
    </row>
    <row r="42" spans="1:94" x14ac:dyDescent="0.25">
      <c r="A42" s="3" t="s">
        <v>246</v>
      </c>
      <c r="B42" s="3" t="s">
        <v>86</v>
      </c>
      <c r="C42" s="3" t="s">
        <v>47</v>
      </c>
      <c r="D42" s="3" t="s">
        <v>48</v>
      </c>
      <c r="E42" s="3" t="s">
        <v>48</v>
      </c>
      <c r="F42" s="3" t="s">
        <v>411</v>
      </c>
      <c r="G42" t="s">
        <v>87</v>
      </c>
      <c r="H42" s="67">
        <f t="shared" si="100"/>
        <v>31250</v>
      </c>
      <c r="I42" s="67">
        <f t="shared" si="100"/>
        <v>31250</v>
      </c>
      <c r="J42" s="67">
        <f t="shared" si="100"/>
        <v>31250</v>
      </c>
      <c r="K42" s="67">
        <f t="shared" si="100"/>
        <v>31250</v>
      </c>
      <c r="L42" s="705">
        <v>125000</v>
      </c>
      <c r="N42" s="209" t="s">
        <v>705</v>
      </c>
      <c r="P42" s="195">
        <f>INDEX('Apportionment Bases'!AK$6:AK$33,MATCH('PC17'!$N42,'Apportionment Bases'!$A$6:$A$33,0))</f>
        <v>0</v>
      </c>
      <c r="Q42" s="195">
        <f>INDEX('Apportionment Bases'!AL$6:AL$33,MATCH('PC17'!$N42,'Apportionment Bases'!$A$6:$A$33,0))</f>
        <v>0</v>
      </c>
      <c r="R42" s="195">
        <f>INDEX('Apportionment Bases'!AM$6:AM$33,MATCH('PC17'!$N42,'Apportionment Bases'!$A$6:$A$33,0))</f>
        <v>0</v>
      </c>
      <c r="S42" s="195">
        <f>INDEX('Apportionment Bases'!AN$6:AN$33,MATCH('PC17'!$N42,'Apportionment Bases'!$A$6:$A$33,0))</f>
        <v>0.5</v>
      </c>
      <c r="T42" s="195">
        <f>INDEX('Apportionment Bases'!AO$6:AO$33,MATCH('PC17'!$N42,'Apportionment Bases'!$A$6:$A$33,0))</f>
        <v>0.5</v>
      </c>
      <c r="V42" s="72">
        <f t="shared" si="69"/>
        <v>0</v>
      </c>
      <c r="W42" s="72">
        <f t="shared" si="70"/>
        <v>0</v>
      </c>
      <c r="X42" s="72">
        <f t="shared" si="97"/>
        <v>0</v>
      </c>
      <c r="Y42" s="72">
        <f t="shared" si="98"/>
        <v>62500</v>
      </c>
      <c r="Z42" s="72">
        <f t="shared" si="99"/>
        <v>62500</v>
      </c>
      <c r="AA42" s="272" t="str">
        <f t="shared" si="71"/>
        <v>TRUE</v>
      </c>
      <c r="AH42" s="301"/>
      <c r="AO42" s="72">
        <f t="shared" si="72"/>
        <v>0</v>
      </c>
      <c r="AP42" s="72">
        <f t="shared" si="73"/>
        <v>0</v>
      </c>
      <c r="AQ42" s="72">
        <f t="shared" si="74"/>
        <v>0</v>
      </c>
      <c r="AR42" s="72">
        <f t="shared" si="75"/>
        <v>36762.5</v>
      </c>
      <c r="AS42" s="72">
        <f t="shared" si="76"/>
        <v>62500</v>
      </c>
      <c r="AT42" s="301"/>
      <c r="AU42" s="72">
        <f t="shared" si="77"/>
        <v>0</v>
      </c>
      <c r="AV42" s="72">
        <f t="shared" si="78"/>
        <v>0</v>
      </c>
      <c r="AW42" s="72">
        <f t="shared" si="79"/>
        <v>0</v>
      </c>
      <c r="AX42" s="72">
        <f t="shared" si="80"/>
        <v>5600</v>
      </c>
      <c r="AY42" s="72">
        <f t="shared" si="81"/>
        <v>0</v>
      </c>
      <c r="AZ42" s="301"/>
      <c r="BG42" s="72">
        <f t="shared" si="82"/>
        <v>0</v>
      </c>
      <c r="BH42" s="72">
        <f t="shared" si="83"/>
        <v>0</v>
      </c>
      <c r="BI42" s="72">
        <f t="shared" si="84"/>
        <v>0</v>
      </c>
      <c r="BJ42" s="72">
        <f t="shared" si="85"/>
        <v>12756.25</v>
      </c>
      <c r="BK42" s="72">
        <f t="shared" si="86"/>
        <v>0</v>
      </c>
      <c r="BL42" s="301"/>
      <c r="CE42" s="72">
        <f t="shared" si="87"/>
        <v>0</v>
      </c>
      <c r="CF42" s="72">
        <f t="shared" si="88"/>
        <v>0</v>
      </c>
      <c r="CG42" s="72">
        <f t="shared" si="89"/>
        <v>0</v>
      </c>
      <c r="CH42" s="72">
        <f t="shared" si="90"/>
        <v>368.75</v>
      </c>
      <c r="CI42" s="72">
        <f t="shared" si="91"/>
        <v>0</v>
      </c>
      <c r="CJ42" s="301"/>
      <c r="CK42" s="72">
        <f t="shared" si="92"/>
        <v>0</v>
      </c>
      <c r="CL42" s="72">
        <f t="shared" si="93"/>
        <v>0</v>
      </c>
      <c r="CM42" s="72">
        <f t="shared" si="94"/>
        <v>0</v>
      </c>
      <c r="CN42" s="72">
        <f t="shared" si="95"/>
        <v>7012.5</v>
      </c>
      <c r="CO42" s="72">
        <f t="shared" si="96"/>
        <v>0</v>
      </c>
      <c r="CP42" s="301"/>
    </row>
    <row r="43" spans="1:94" x14ac:dyDescent="0.25">
      <c r="A43" s="3" t="s">
        <v>246</v>
      </c>
      <c r="B43" s="3" t="s">
        <v>381</v>
      </c>
      <c r="C43" s="3" t="s">
        <v>47</v>
      </c>
      <c r="D43" s="3" t="s">
        <v>48</v>
      </c>
      <c r="E43" s="3" t="s">
        <v>48</v>
      </c>
      <c r="F43" s="3" t="s">
        <v>412</v>
      </c>
      <c r="G43" t="s">
        <v>382</v>
      </c>
      <c r="H43" s="67">
        <f t="shared" si="100"/>
        <v>0</v>
      </c>
      <c r="I43" s="67">
        <f t="shared" si="100"/>
        <v>0</v>
      </c>
      <c r="J43" s="67">
        <f t="shared" si="100"/>
        <v>0</v>
      </c>
      <c r="K43" s="67">
        <f t="shared" si="100"/>
        <v>0</v>
      </c>
      <c r="L43" s="705">
        <v>0</v>
      </c>
      <c r="N43" s="209" t="s">
        <v>705</v>
      </c>
      <c r="P43" s="195">
        <f>INDEX('Apportionment Bases'!AK$6:AK$33,MATCH('PC17'!$N43,'Apportionment Bases'!$A$6:$A$33,0))</f>
        <v>0</v>
      </c>
      <c r="Q43" s="195">
        <f>INDEX('Apportionment Bases'!AL$6:AL$33,MATCH('PC17'!$N43,'Apportionment Bases'!$A$6:$A$33,0))</f>
        <v>0</v>
      </c>
      <c r="R43" s="195">
        <f>INDEX('Apportionment Bases'!AM$6:AM$33,MATCH('PC17'!$N43,'Apportionment Bases'!$A$6:$A$33,0))</f>
        <v>0</v>
      </c>
      <c r="S43" s="195">
        <f>INDEX('Apportionment Bases'!AN$6:AN$33,MATCH('PC17'!$N43,'Apportionment Bases'!$A$6:$A$33,0))</f>
        <v>0.5</v>
      </c>
      <c r="T43" s="195">
        <f>INDEX('Apportionment Bases'!AO$6:AO$33,MATCH('PC17'!$N43,'Apportionment Bases'!$A$6:$A$33,0))</f>
        <v>0.5</v>
      </c>
      <c r="V43" s="72">
        <f t="shared" si="69"/>
        <v>0</v>
      </c>
      <c r="W43" s="72">
        <f t="shared" si="70"/>
        <v>0</v>
      </c>
      <c r="X43" s="72">
        <f t="shared" si="97"/>
        <v>0</v>
      </c>
      <c r="Y43" s="72">
        <f t="shared" si="98"/>
        <v>0</v>
      </c>
      <c r="Z43" s="72">
        <f t="shared" si="99"/>
        <v>0</v>
      </c>
      <c r="AA43" s="272" t="str">
        <f t="shared" si="71"/>
        <v>TRUE</v>
      </c>
      <c r="AH43" s="301"/>
      <c r="AO43" s="72">
        <f t="shared" si="72"/>
        <v>0</v>
      </c>
      <c r="AP43" s="72">
        <f t="shared" si="73"/>
        <v>0</v>
      </c>
      <c r="AQ43" s="72">
        <f t="shared" si="74"/>
        <v>0</v>
      </c>
      <c r="AR43" s="72">
        <f t="shared" si="75"/>
        <v>0</v>
      </c>
      <c r="AS43" s="72">
        <f t="shared" si="76"/>
        <v>0</v>
      </c>
      <c r="AT43" s="301"/>
      <c r="AU43" s="72">
        <f t="shared" si="77"/>
        <v>0</v>
      </c>
      <c r="AV43" s="72">
        <f t="shared" si="78"/>
        <v>0</v>
      </c>
      <c r="AW43" s="72">
        <f t="shared" si="79"/>
        <v>0</v>
      </c>
      <c r="AX43" s="72">
        <f t="shared" si="80"/>
        <v>0</v>
      </c>
      <c r="AY43" s="72">
        <f t="shared" si="81"/>
        <v>0</v>
      </c>
      <c r="AZ43" s="301"/>
      <c r="BG43" s="72">
        <f t="shared" si="82"/>
        <v>0</v>
      </c>
      <c r="BH43" s="72">
        <f t="shared" si="83"/>
        <v>0</v>
      </c>
      <c r="BI43" s="72">
        <f t="shared" si="84"/>
        <v>0</v>
      </c>
      <c r="BJ43" s="72">
        <f t="shared" si="85"/>
        <v>0</v>
      </c>
      <c r="BK43" s="72">
        <f t="shared" si="86"/>
        <v>0</v>
      </c>
      <c r="BL43" s="301"/>
      <c r="CE43" s="72">
        <f t="shared" si="87"/>
        <v>0</v>
      </c>
      <c r="CF43" s="72">
        <f t="shared" si="88"/>
        <v>0</v>
      </c>
      <c r="CG43" s="72">
        <f t="shared" si="89"/>
        <v>0</v>
      </c>
      <c r="CH43" s="72">
        <f t="shared" si="90"/>
        <v>0</v>
      </c>
      <c r="CI43" s="72">
        <f t="shared" si="91"/>
        <v>0</v>
      </c>
      <c r="CJ43" s="301"/>
      <c r="CK43" s="72">
        <f t="shared" si="92"/>
        <v>0</v>
      </c>
      <c r="CL43" s="72">
        <f t="shared" si="93"/>
        <v>0</v>
      </c>
      <c r="CM43" s="72">
        <f t="shared" si="94"/>
        <v>0</v>
      </c>
      <c r="CN43" s="72">
        <f t="shared" si="95"/>
        <v>0</v>
      </c>
      <c r="CO43" s="72">
        <f t="shared" si="96"/>
        <v>0</v>
      </c>
      <c r="CP43" s="301"/>
    </row>
    <row r="44" spans="1:94" x14ac:dyDescent="0.25">
      <c r="A44" s="3" t="s">
        <v>246</v>
      </c>
      <c r="B44" s="3" t="s">
        <v>88</v>
      </c>
      <c r="C44" s="3" t="s">
        <v>47</v>
      </c>
      <c r="D44" s="3" t="s">
        <v>48</v>
      </c>
      <c r="E44" s="3" t="s">
        <v>48</v>
      </c>
      <c r="F44" s="3" t="s">
        <v>413</v>
      </c>
      <c r="G44" t="s">
        <v>89</v>
      </c>
      <c r="H44" s="67">
        <f t="shared" si="100"/>
        <v>1500</v>
      </c>
      <c r="I44" s="67">
        <f t="shared" si="100"/>
        <v>1500</v>
      </c>
      <c r="J44" s="67">
        <f t="shared" si="100"/>
        <v>1500</v>
      </c>
      <c r="K44" s="67">
        <f t="shared" si="100"/>
        <v>1500</v>
      </c>
      <c r="L44" s="705">
        <v>6000</v>
      </c>
      <c r="N44" s="209" t="s">
        <v>705</v>
      </c>
      <c r="P44" s="195">
        <f>INDEX('Apportionment Bases'!AK$6:AK$33,MATCH('PC17'!$N44,'Apportionment Bases'!$A$6:$A$33,0))</f>
        <v>0</v>
      </c>
      <c r="Q44" s="195">
        <f>INDEX('Apportionment Bases'!AL$6:AL$33,MATCH('PC17'!$N44,'Apportionment Bases'!$A$6:$A$33,0))</f>
        <v>0</v>
      </c>
      <c r="R44" s="195">
        <f>INDEX('Apportionment Bases'!AM$6:AM$33,MATCH('PC17'!$N44,'Apportionment Bases'!$A$6:$A$33,0))</f>
        <v>0</v>
      </c>
      <c r="S44" s="195">
        <f>INDEX('Apportionment Bases'!AN$6:AN$33,MATCH('PC17'!$N44,'Apportionment Bases'!$A$6:$A$33,0))</f>
        <v>0.5</v>
      </c>
      <c r="T44" s="195">
        <f>INDEX('Apportionment Bases'!AO$6:AO$33,MATCH('PC17'!$N44,'Apportionment Bases'!$A$6:$A$33,0))</f>
        <v>0.5</v>
      </c>
      <c r="V44" s="72">
        <f t="shared" si="69"/>
        <v>0</v>
      </c>
      <c r="W44" s="72">
        <f t="shared" si="70"/>
        <v>0</v>
      </c>
      <c r="X44" s="72">
        <f t="shared" si="97"/>
        <v>0</v>
      </c>
      <c r="Y44" s="72">
        <f t="shared" si="98"/>
        <v>3000</v>
      </c>
      <c r="Z44" s="72">
        <f t="shared" si="99"/>
        <v>3000</v>
      </c>
      <c r="AA44" s="272" t="str">
        <f t="shared" si="71"/>
        <v>TRUE</v>
      </c>
      <c r="AH44" s="301"/>
      <c r="AO44" s="72">
        <f t="shared" si="72"/>
        <v>0</v>
      </c>
      <c r="AP44" s="72">
        <f t="shared" si="73"/>
        <v>0</v>
      </c>
      <c r="AQ44" s="72">
        <f t="shared" si="74"/>
        <v>0</v>
      </c>
      <c r="AR44" s="72">
        <f t="shared" si="75"/>
        <v>1764.6</v>
      </c>
      <c r="AS44" s="72">
        <f t="shared" si="76"/>
        <v>3000</v>
      </c>
      <c r="AT44" s="301"/>
      <c r="AU44" s="72">
        <f t="shared" si="77"/>
        <v>0</v>
      </c>
      <c r="AV44" s="72">
        <f t="shared" si="78"/>
        <v>0</v>
      </c>
      <c r="AW44" s="72">
        <f t="shared" si="79"/>
        <v>0</v>
      </c>
      <c r="AX44" s="72">
        <f t="shared" si="80"/>
        <v>268.8</v>
      </c>
      <c r="AY44" s="72">
        <f t="shared" si="81"/>
        <v>0</v>
      </c>
      <c r="AZ44" s="301"/>
      <c r="BG44" s="72">
        <f t="shared" si="82"/>
        <v>0</v>
      </c>
      <c r="BH44" s="72">
        <f t="shared" si="83"/>
        <v>0</v>
      </c>
      <c r="BI44" s="72">
        <f t="shared" si="84"/>
        <v>0</v>
      </c>
      <c r="BJ44" s="72">
        <f t="shared" si="85"/>
        <v>612.29999999999995</v>
      </c>
      <c r="BK44" s="72">
        <f t="shared" si="86"/>
        <v>0</v>
      </c>
      <c r="BL44" s="301"/>
      <c r="CE44" s="72">
        <f t="shared" si="87"/>
        <v>0</v>
      </c>
      <c r="CF44" s="72">
        <f t="shared" si="88"/>
        <v>0</v>
      </c>
      <c r="CG44" s="72">
        <f t="shared" si="89"/>
        <v>0</v>
      </c>
      <c r="CH44" s="72">
        <f t="shared" si="90"/>
        <v>17.7</v>
      </c>
      <c r="CI44" s="72">
        <f t="shared" si="91"/>
        <v>0</v>
      </c>
      <c r="CJ44" s="301"/>
      <c r="CK44" s="72">
        <f t="shared" si="92"/>
        <v>0</v>
      </c>
      <c r="CL44" s="72">
        <f t="shared" si="93"/>
        <v>0</v>
      </c>
      <c r="CM44" s="72">
        <f t="shared" si="94"/>
        <v>0</v>
      </c>
      <c r="CN44" s="72">
        <f t="shared" si="95"/>
        <v>336.59999999999997</v>
      </c>
      <c r="CO44" s="72">
        <f t="shared" si="96"/>
        <v>0</v>
      </c>
      <c r="CP44" s="301"/>
    </row>
    <row r="45" spans="1:94" x14ac:dyDescent="0.25">
      <c r="A45" s="3" t="s">
        <v>246</v>
      </c>
      <c r="B45" s="3" t="s">
        <v>90</v>
      </c>
      <c r="C45" s="3" t="s">
        <v>47</v>
      </c>
      <c r="D45" s="3" t="s">
        <v>48</v>
      </c>
      <c r="E45" s="3" t="s">
        <v>48</v>
      </c>
      <c r="F45" s="3" t="s">
        <v>414</v>
      </c>
      <c r="G45" t="s">
        <v>91</v>
      </c>
      <c r="H45" s="67">
        <f t="shared" si="100"/>
        <v>1500</v>
      </c>
      <c r="I45" s="67">
        <f t="shared" si="100"/>
        <v>1500</v>
      </c>
      <c r="J45" s="67">
        <f t="shared" si="100"/>
        <v>1500</v>
      </c>
      <c r="K45" s="67">
        <f t="shared" si="100"/>
        <v>1500</v>
      </c>
      <c r="L45" s="705">
        <v>6000</v>
      </c>
      <c r="N45" s="209" t="s">
        <v>705</v>
      </c>
      <c r="P45" s="195">
        <f>INDEX('Apportionment Bases'!AK$6:AK$33,MATCH('PC17'!$N45,'Apportionment Bases'!$A$6:$A$33,0))</f>
        <v>0</v>
      </c>
      <c r="Q45" s="195">
        <f>INDEX('Apportionment Bases'!AL$6:AL$33,MATCH('PC17'!$N45,'Apportionment Bases'!$A$6:$A$33,0))</f>
        <v>0</v>
      </c>
      <c r="R45" s="195">
        <f>INDEX('Apportionment Bases'!AM$6:AM$33,MATCH('PC17'!$N45,'Apportionment Bases'!$A$6:$A$33,0))</f>
        <v>0</v>
      </c>
      <c r="S45" s="195">
        <f>INDEX('Apportionment Bases'!AN$6:AN$33,MATCH('PC17'!$N45,'Apportionment Bases'!$A$6:$A$33,0))</f>
        <v>0.5</v>
      </c>
      <c r="T45" s="195">
        <f>INDEX('Apportionment Bases'!AO$6:AO$33,MATCH('PC17'!$N45,'Apportionment Bases'!$A$6:$A$33,0))</f>
        <v>0.5</v>
      </c>
      <c r="V45" s="72">
        <f t="shared" si="69"/>
        <v>0</v>
      </c>
      <c r="W45" s="72">
        <f t="shared" si="70"/>
        <v>0</v>
      </c>
      <c r="X45" s="72">
        <f t="shared" si="97"/>
        <v>0</v>
      </c>
      <c r="Y45" s="72">
        <f t="shared" si="98"/>
        <v>3000</v>
      </c>
      <c r="Z45" s="72">
        <f t="shared" si="99"/>
        <v>3000</v>
      </c>
      <c r="AA45" s="272" t="str">
        <f t="shared" si="71"/>
        <v>TRUE</v>
      </c>
      <c r="AH45" s="301"/>
      <c r="AO45" s="72">
        <f t="shared" si="72"/>
        <v>0</v>
      </c>
      <c r="AP45" s="72">
        <f t="shared" si="73"/>
        <v>0</v>
      </c>
      <c r="AQ45" s="72">
        <f t="shared" si="74"/>
        <v>0</v>
      </c>
      <c r="AR45" s="72">
        <f t="shared" si="75"/>
        <v>1764.6</v>
      </c>
      <c r="AS45" s="72">
        <f t="shared" si="76"/>
        <v>3000</v>
      </c>
      <c r="AT45" s="301"/>
      <c r="AU45" s="72">
        <f t="shared" si="77"/>
        <v>0</v>
      </c>
      <c r="AV45" s="72">
        <f t="shared" si="78"/>
        <v>0</v>
      </c>
      <c r="AW45" s="72">
        <f t="shared" si="79"/>
        <v>0</v>
      </c>
      <c r="AX45" s="72">
        <f t="shared" si="80"/>
        <v>268.8</v>
      </c>
      <c r="AY45" s="72">
        <f t="shared" si="81"/>
        <v>0</v>
      </c>
      <c r="AZ45" s="301"/>
      <c r="BG45" s="72">
        <f t="shared" si="82"/>
        <v>0</v>
      </c>
      <c r="BH45" s="72">
        <f t="shared" si="83"/>
        <v>0</v>
      </c>
      <c r="BI45" s="72">
        <f t="shared" si="84"/>
        <v>0</v>
      </c>
      <c r="BJ45" s="72">
        <f t="shared" si="85"/>
        <v>612.29999999999995</v>
      </c>
      <c r="BK45" s="72">
        <f t="shared" si="86"/>
        <v>0</v>
      </c>
      <c r="BL45" s="301"/>
      <c r="CE45" s="72">
        <f t="shared" si="87"/>
        <v>0</v>
      </c>
      <c r="CF45" s="72">
        <f t="shared" si="88"/>
        <v>0</v>
      </c>
      <c r="CG45" s="72">
        <f t="shared" si="89"/>
        <v>0</v>
      </c>
      <c r="CH45" s="72">
        <f t="shared" si="90"/>
        <v>17.7</v>
      </c>
      <c r="CI45" s="72">
        <f t="shared" si="91"/>
        <v>0</v>
      </c>
      <c r="CJ45" s="301"/>
      <c r="CK45" s="72">
        <f t="shared" si="92"/>
        <v>0</v>
      </c>
      <c r="CL45" s="72">
        <f t="shared" si="93"/>
        <v>0</v>
      </c>
      <c r="CM45" s="72">
        <f t="shared" si="94"/>
        <v>0</v>
      </c>
      <c r="CN45" s="72">
        <f t="shared" si="95"/>
        <v>336.59999999999997</v>
      </c>
      <c r="CO45" s="72">
        <f t="shared" si="96"/>
        <v>0</v>
      </c>
      <c r="CP45" s="301"/>
    </row>
    <row r="46" spans="1:94" x14ac:dyDescent="0.25">
      <c r="A46" s="3" t="s">
        <v>246</v>
      </c>
      <c r="B46" s="3" t="s">
        <v>92</v>
      </c>
      <c r="C46" s="3" t="s">
        <v>47</v>
      </c>
      <c r="D46" s="3" t="s">
        <v>48</v>
      </c>
      <c r="E46" s="3" t="s">
        <v>48</v>
      </c>
      <c r="F46" s="3" t="s">
        <v>415</v>
      </c>
      <c r="G46" t="s">
        <v>93</v>
      </c>
      <c r="H46" s="67">
        <f t="shared" si="100"/>
        <v>2500</v>
      </c>
      <c r="I46" s="67">
        <f t="shared" si="100"/>
        <v>2500</v>
      </c>
      <c r="J46" s="67">
        <f t="shared" si="100"/>
        <v>2500</v>
      </c>
      <c r="K46" s="67">
        <f t="shared" si="100"/>
        <v>2500</v>
      </c>
      <c r="L46" s="705">
        <v>10000</v>
      </c>
      <c r="N46" s="209" t="s">
        <v>705</v>
      </c>
      <c r="P46" s="195">
        <f>INDEX('Apportionment Bases'!AK$6:AK$33,MATCH('PC17'!$N46,'Apportionment Bases'!$A$6:$A$33,0))</f>
        <v>0</v>
      </c>
      <c r="Q46" s="195">
        <f>INDEX('Apportionment Bases'!AL$6:AL$33,MATCH('PC17'!$N46,'Apportionment Bases'!$A$6:$A$33,0))</f>
        <v>0</v>
      </c>
      <c r="R46" s="195">
        <f>INDEX('Apportionment Bases'!AM$6:AM$33,MATCH('PC17'!$N46,'Apportionment Bases'!$A$6:$A$33,0))</f>
        <v>0</v>
      </c>
      <c r="S46" s="195">
        <f>INDEX('Apportionment Bases'!AN$6:AN$33,MATCH('PC17'!$N46,'Apportionment Bases'!$A$6:$A$33,0))</f>
        <v>0.5</v>
      </c>
      <c r="T46" s="195">
        <f>INDEX('Apportionment Bases'!AO$6:AO$33,MATCH('PC17'!$N46,'Apportionment Bases'!$A$6:$A$33,0))</f>
        <v>0.5</v>
      </c>
      <c r="V46" s="72">
        <f t="shared" si="69"/>
        <v>0</v>
      </c>
      <c r="W46" s="72">
        <f t="shared" si="70"/>
        <v>0</v>
      </c>
      <c r="X46" s="72">
        <f t="shared" si="97"/>
        <v>0</v>
      </c>
      <c r="Y46" s="72">
        <f t="shared" si="98"/>
        <v>5000</v>
      </c>
      <c r="Z46" s="72">
        <f t="shared" si="99"/>
        <v>5000</v>
      </c>
      <c r="AA46" s="272" t="str">
        <f t="shared" si="71"/>
        <v>TRUE</v>
      </c>
      <c r="AH46" s="301"/>
      <c r="AO46" s="72">
        <f t="shared" si="72"/>
        <v>0</v>
      </c>
      <c r="AP46" s="72">
        <f t="shared" si="73"/>
        <v>0</v>
      </c>
      <c r="AQ46" s="72">
        <f t="shared" si="74"/>
        <v>0</v>
      </c>
      <c r="AR46" s="72">
        <f t="shared" si="75"/>
        <v>2940.9999999999995</v>
      </c>
      <c r="AS46" s="72">
        <f t="shared" si="76"/>
        <v>5000</v>
      </c>
      <c r="AT46" s="301"/>
      <c r="AU46" s="72">
        <f t="shared" si="77"/>
        <v>0</v>
      </c>
      <c r="AV46" s="72">
        <f t="shared" si="78"/>
        <v>0</v>
      </c>
      <c r="AW46" s="72">
        <f t="shared" si="79"/>
        <v>0</v>
      </c>
      <c r="AX46" s="72">
        <f t="shared" si="80"/>
        <v>448</v>
      </c>
      <c r="AY46" s="72">
        <f t="shared" si="81"/>
        <v>0</v>
      </c>
      <c r="AZ46" s="301"/>
      <c r="BG46" s="72">
        <f t="shared" si="82"/>
        <v>0</v>
      </c>
      <c r="BH46" s="72">
        <f t="shared" si="83"/>
        <v>0</v>
      </c>
      <c r="BI46" s="72">
        <f t="shared" si="84"/>
        <v>0</v>
      </c>
      <c r="BJ46" s="72">
        <f t="shared" si="85"/>
        <v>1020.5</v>
      </c>
      <c r="BK46" s="72">
        <f t="shared" si="86"/>
        <v>0</v>
      </c>
      <c r="BL46" s="301"/>
      <c r="CE46" s="72">
        <f t="shared" si="87"/>
        <v>0</v>
      </c>
      <c r="CF46" s="72">
        <f t="shared" si="88"/>
        <v>0</v>
      </c>
      <c r="CG46" s="72">
        <f t="shared" si="89"/>
        <v>0</v>
      </c>
      <c r="CH46" s="72">
        <f t="shared" si="90"/>
        <v>29.5</v>
      </c>
      <c r="CI46" s="72">
        <f t="shared" si="91"/>
        <v>0</v>
      </c>
      <c r="CJ46" s="301"/>
      <c r="CK46" s="72">
        <f t="shared" si="92"/>
        <v>0</v>
      </c>
      <c r="CL46" s="72">
        <f t="shared" si="93"/>
        <v>0</v>
      </c>
      <c r="CM46" s="72">
        <f t="shared" si="94"/>
        <v>0</v>
      </c>
      <c r="CN46" s="72">
        <f t="shared" si="95"/>
        <v>561</v>
      </c>
      <c r="CO46" s="72">
        <f t="shared" si="96"/>
        <v>0</v>
      </c>
      <c r="CP46" s="301"/>
    </row>
    <row r="47" spans="1:94" x14ac:dyDescent="0.25">
      <c r="A47" s="3" t="s">
        <v>246</v>
      </c>
      <c r="B47" s="3" t="s">
        <v>94</v>
      </c>
      <c r="C47" s="3" t="s">
        <v>47</v>
      </c>
      <c r="D47" s="3" t="s">
        <v>48</v>
      </c>
      <c r="E47" s="3" t="s">
        <v>48</v>
      </c>
      <c r="F47" s="3" t="s">
        <v>416</v>
      </c>
      <c r="G47" t="s">
        <v>22</v>
      </c>
      <c r="H47" s="67">
        <f t="shared" si="100"/>
        <v>10500</v>
      </c>
      <c r="I47" s="67">
        <f t="shared" si="100"/>
        <v>10500</v>
      </c>
      <c r="J47" s="67">
        <f t="shared" si="100"/>
        <v>10500</v>
      </c>
      <c r="K47" s="67">
        <f t="shared" si="100"/>
        <v>10500</v>
      </c>
      <c r="L47" s="705">
        <v>42000</v>
      </c>
      <c r="N47" s="209" t="s">
        <v>22</v>
      </c>
      <c r="P47" s="195">
        <f>INDEX('Apportionment Bases'!AK$6:AK$33,MATCH('PC17'!$N47,'Apportionment Bases'!$A$6:$A$33,0))</f>
        <v>0.92600000000000005</v>
      </c>
      <c r="Q47" s="195">
        <f>INDEX('Apportionment Bases'!AL$6:AL$33,MATCH('PC17'!$N47,'Apportionment Bases'!$A$6:$A$33,0))</f>
        <v>7.3999999999999996E-2</v>
      </c>
      <c r="R47" s="195">
        <f>INDEX('Apportionment Bases'!AM$6:AM$33,MATCH('PC17'!$N47,'Apportionment Bases'!$A$6:$A$33,0))</f>
        <v>0</v>
      </c>
      <c r="S47" s="195">
        <f>INDEX('Apportionment Bases'!AN$6:AN$33,MATCH('PC17'!$N47,'Apportionment Bases'!$A$6:$A$33,0))</f>
        <v>0</v>
      </c>
      <c r="T47" s="195">
        <f>INDEX('Apportionment Bases'!AO$6:AO$33,MATCH('PC17'!$N47,'Apportionment Bases'!$A$6:$A$33,0))</f>
        <v>0</v>
      </c>
      <c r="V47" s="72">
        <f t="shared" si="69"/>
        <v>38892</v>
      </c>
      <c r="W47" s="72">
        <f t="shared" si="70"/>
        <v>3108</v>
      </c>
      <c r="X47" s="72">
        <f t="shared" si="97"/>
        <v>0</v>
      </c>
      <c r="Y47" s="72">
        <f t="shared" si="98"/>
        <v>0</v>
      </c>
      <c r="Z47" s="72">
        <f t="shared" si="99"/>
        <v>0</v>
      </c>
      <c r="AA47" s="272" t="str">
        <f t="shared" si="71"/>
        <v>TRUE</v>
      </c>
      <c r="AH47" s="301"/>
      <c r="AO47" s="72">
        <f t="shared" si="72"/>
        <v>24727.533600000002</v>
      </c>
      <c r="AP47" s="72">
        <f t="shared" si="73"/>
        <v>3093.7869589213906</v>
      </c>
      <c r="AQ47" s="72">
        <f t="shared" si="74"/>
        <v>0</v>
      </c>
      <c r="AR47" s="72">
        <f t="shared" si="75"/>
        <v>0</v>
      </c>
      <c r="AS47" s="72">
        <f t="shared" si="76"/>
        <v>0</v>
      </c>
      <c r="AT47" s="301"/>
      <c r="AU47" s="72">
        <f t="shared" si="77"/>
        <v>3317.4875999999999</v>
      </c>
      <c r="AV47" s="72">
        <f t="shared" si="78"/>
        <v>3.2265236931325401</v>
      </c>
      <c r="AW47" s="72">
        <f t="shared" si="79"/>
        <v>0</v>
      </c>
      <c r="AX47" s="72">
        <f t="shared" si="80"/>
        <v>0</v>
      </c>
      <c r="AY47" s="72">
        <f t="shared" si="81"/>
        <v>0</v>
      </c>
      <c r="AZ47" s="301"/>
      <c r="BG47" s="72">
        <f t="shared" si="82"/>
        <v>5756.0159999999996</v>
      </c>
      <c r="BH47" s="72">
        <f t="shared" si="83"/>
        <v>5.7587321611606086</v>
      </c>
      <c r="BI47" s="72">
        <f t="shared" si="84"/>
        <v>0</v>
      </c>
      <c r="BJ47" s="72">
        <f t="shared" si="85"/>
        <v>0</v>
      </c>
      <c r="BK47" s="72">
        <f t="shared" si="86"/>
        <v>0</v>
      </c>
      <c r="BL47" s="301"/>
      <c r="CE47" s="72">
        <f t="shared" si="87"/>
        <v>143.90040000000002</v>
      </c>
      <c r="CF47" s="72">
        <f t="shared" si="88"/>
        <v>0.16336828825987545</v>
      </c>
      <c r="CG47" s="72">
        <f t="shared" si="89"/>
        <v>0</v>
      </c>
      <c r="CH47" s="72">
        <f t="shared" si="90"/>
        <v>0</v>
      </c>
      <c r="CI47" s="72">
        <f t="shared" si="91"/>
        <v>0</v>
      </c>
      <c r="CJ47" s="301"/>
      <c r="CK47" s="72">
        <f t="shared" si="92"/>
        <v>4947.0624000000007</v>
      </c>
      <c r="CL47" s="72">
        <f t="shared" si="93"/>
        <v>5.064416936056138</v>
      </c>
      <c r="CM47" s="72">
        <f t="shared" si="94"/>
        <v>0</v>
      </c>
      <c r="CN47" s="72">
        <f t="shared" si="95"/>
        <v>0</v>
      </c>
      <c r="CO47" s="72">
        <f t="shared" si="96"/>
        <v>0</v>
      </c>
      <c r="CP47" s="301"/>
    </row>
    <row r="48" spans="1:94" x14ac:dyDescent="0.25">
      <c r="A48" s="3" t="s">
        <v>246</v>
      </c>
      <c r="B48" s="3" t="s">
        <v>95</v>
      </c>
      <c r="C48" s="3" t="s">
        <v>47</v>
      </c>
      <c r="D48" s="3" t="s">
        <v>48</v>
      </c>
      <c r="E48" s="3" t="s">
        <v>48</v>
      </c>
      <c r="F48" s="3" t="s">
        <v>417</v>
      </c>
      <c r="G48" t="s">
        <v>96</v>
      </c>
      <c r="H48" s="67">
        <f t="shared" si="100"/>
        <v>4250</v>
      </c>
      <c r="I48" s="67">
        <f t="shared" si="100"/>
        <v>4250</v>
      </c>
      <c r="J48" s="67">
        <f t="shared" si="100"/>
        <v>4250</v>
      </c>
      <c r="K48" s="67">
        <f t="shared" si="100"/>
        <v>4250</v>
      </c>
      <c r="L48" s="705">
        <v>17000</v>
      </c>
      <c r="N48" s="209" t="s">
        <v>479</v>
      </c>
      <c r="P48" s="195">
        <f>INDEX('Apportionment Bases'!AK$6:AK$33,MATCH('PC17'!$N48,'Apportionment Bases'!$A$6:$A$33,0))</f>
        <v>0.48</v>
      </c>
      <c r="Q48" s="195">
        <f>INDEX('Apportionment Bases'!AL$6:AL$33,MATCH('PC17'!$N48,'Apportionment Bases'!$A$6:$A$33,0))</f>
        <v>0.375</v>
      </c>
      <c r="R48" s="195">
        <f>INDEX('Apportionment Bases'!AM$6:AM$33,MATCH('PC17'!$N48,'Apportionment Bases'!$A$6:$A$33,0))</f>
        <v>8.4000000000000005E-2</v>
      </c>
      <c r="S48" s="195">
        <f>INDEX('Apportionment Bases'!AN$6:AN$33,MATCH('PC17'!$N48,'Apportionment Bases'!$A$6:$A$33,0))</f>
        <v>3.0499999999999999E-2</v>
      </c>
      <c r="T48" s="195">
        <f>INDEX('Apportionment Bases'!AO$6:AO$33,MATCH('PC17'!$N48,'Apportionment Bases'!$A$6:$A$33,0))</f>
        <v>3.0499999999999999E-2</v>
      </c>
      <c r="V48" s="72">
        <f t="shared" si="69"/>
        <v>8160</v>
      </c>
      <c r="W48" s="72">
        <f t="shared" si="70"/>
        <v>6375</v>
      </c>
      <c r="X48" s="72">
        <f t="shared" si="97"/>
        <v>1428</v>
      </c>
      <c r="Y48" s="72">
        <f t="shared" si="98"/>
        <v>518.5</v>
      </c>
      <c r="Z48" s="72">
        <f t="shared" si="99"/>
        <v>518.5</v>
      </c>
      <c r="AA48" s="272" t="str">
        <f t="shared" si="71"/>
        <v>TRUE</v>
      </c>
      <c r="AH48" s="301"/>
      <c r="AO48" s="72">
        <f t="shared" si="72"/>
        <v>5188.1280000000006</v>
      </c>
      <c r="AP48" s="72">
        <f t="shared" si="73"/>
        <v>6345.8468028069065</v>
      </c>
      <c r="AQ48" s="72">
        <f t="shared" si="74"/>
        <v>1428</v>
      </c>
      <c r="AR48" s="72">
        <f t="shared" si="75"/>
        <v>304.98169999999999</v>
      </c>
      <c r="AS48" s="72">
        <f t="shared" si="76"/>
        <v>518.5</v>
      </c>
      <c r="AT48" s="301"/>
      <c r="AU48" s="72">
        <f t="shared" si="77"/>
        <v>696.048</v>
      </c>
      <c r="AV48" s="72">
        <f t="shared" si="78"/>
        <v>6.6181108570527494</v>
      </c>
      <c r="AW48" s="72">
        <f t="shared" si="79"/>
        <v>0</v>
      </c>
      <c r="AX48" s="72">
        <f t="shared" si="80"/>
        <v>46.457599999999999</v>
      </c>
      <c r="AY48" s="72">
        <f t="shared" si="81"/>
        <v>0</v>
      </c>
      <c r="AZ48" s="301"/>
      <c r="BG48" s="72">
        <f t="shared" si="82"/>
        <v>1207.6799999999998</v>
      </c>
      <c r="BH48" s="72">
        <f t="shared" si="83"/>
        <v>11.812071276511867</v>
      </c>
      <c r="BI48" s="72">
        <f t="shared" si="84"/>
        <v>0</v>
      </c>
      <c r="BJ48" s="72">
        <f t="shared" si="85"/>
        <v>105.82585</v>
      </c>
      <c r="BK48" s="72">
        <f t="shared" si="86"/>
        <v>0</v>
      </c>
      <c r="BL48" s="301"/>
      <c r="CE48" s="72">
        <f t="shared" si="87"/>
        <v>30.192</v>
      </c>
      <c r="CF48" s="72">
        <f t="shared" si="88"/>
        <v>0.33509422061026573</v>
      </c>
      <c r="CG48" s="72">
        <f t="shared" si="89"/>
        <v>0</v>
      </c>
      <c r="CH48" s="72">
        <f t="shared" si="90"/>
        <v>3.0591499999999998</v>
      </c>
      <c r="CI48" s="72">
        <f t="shared" si="91"/>
        <v>0</v>
      </c>
      <c r="CJ48" s="301"/>
      <c r="CK48" s="72">
        <f t="shared" si="92"/>
        <v>1037.952</v>
      </c>
      <c r="CL48" s="72">
        <f t="shared" si="93"/>
        <v>10.387920838918237</v>
      </c>
      <c r="CM48" s="72">
        <f t="shared" si="94"/>
        <v>0</v>
      </c>
      <c r="CN48" s="72">
        <f t="shared" si="95"/>
        <v>58.175699999999999</v>
      </c>
      <c r="CO48" s="72">
        <f t="shared" si="96"/>
        <v>0</v>
      </c>
      <c r="CP48" s="301"/>
    </row>
    <row r="49" spans="1:94" x14ac:dyDescent="0.25">
      <c r="A49" s="3" t="s">
        <v>246</v>
      </c>
      <c r="B49" s="3" t="s">
        <v>97</v>
      </c>
      <c r="C49" s="3" t="s">
        <v>47</v>
      </c>
      <c r="D49" s="3" t="s">
        <v>48</v>
      </c>
      <c r="E49" s="3" t="s">
        <v>48</v>
      </c>
      <c r="F49" s="3" t="s">
        <v>418</v>
      </c>
      <c r="G49" t="s">
        <v>98</v>
      </c>
      <c r="H49" s="67">
        <f t="shared" si="100"/>
        <v>3250</v>
      </c>
      <c r="I49" s="67">
        <f t="shared" si="100"/>
        <v>3250</v>
      </c>
      <c r="J49" s="67">
        <f t="shared" si="100"/>
        <v>3250</v>
      </c>
      <c r="K49" s="67">
        <f t="shared" si="100"/>
        <v>3250</v>
      </c>
      <c r="L49" s="705">
        <v>13000</v>
      </c>
      <c r="N49" s="209" t="s">
        <v>705</v>
      </c>
      <c r="P49" s="195">
        <f>INDEX('Apportionment Bases'!AK$6:AK$33,MATCH('PC17'!$N49,'Apportionment Bases'!$A$6:$A$33,0))</f>
        <v>0</v>
      </c>
      <c r="Q49" s="195">
        <f>INDEX('Apportionment Bases'!AL$6:AL$33,MATCH('PC17'!$N49,'Apportionment Bases'!$A$6:$A$33,0))</f>
        <v>0</v>
      </c>
      <c r="R49" s="195">
        <f>INDEX('Apportionment Bases'!AM$6:AM$33,MATCH('PC17'!$N49,'Apportionment Bases'!$A$6:$A$33,0))</f>
        <v>0</v>
      </c>
      <c r="S49" s="195">
        <f>INDEX('Apportionment Bases'!AN$6:AN$33,MATCH('PC17'!$N49,'Apportionment Bases'!$A$6:$A$33,0))</f>
        <v>0.5</v>
      </c>
      <c r="T49" s="195">
        <f>INDEX('Apportionment Bases'!AO$6:AO$33,MATCH('PC17'!$N49,'Apportionment Bases'!$A$6:$A$33,0))</f>
        <v>0.5</v>
      </c>
      <c r="V49" s="72">
        <f t="shared" si="69"/>
        <v>0</v>
      </c>
      <c r="W49" s="72">
        <f t="shared" si="70"/>
        <v>0</v>
      </c>
      <c r="X49" s="72">
        <f t="shared" si="97"/>
        <v>0</v>
      </c>
      <c r="Y49" s="72">
        <f t="shared" si="98"/>
        <v>6500</v>
      </c>
      <c r="Z49" s="72">
        <f t="shared" si="99"/>
        <v>6500</v>
      </c>
      <c r="AA49" s="272" t="str">
        <f t="shared" si="71"/>
        <v>TRUE</v>
      </c>
      <c r="AH49" s="301"/>
      <c r="AO49" s="72">
        <f t="shared" si="72"/>
        <v>0</v>
      </c>
      <c r="AP49" s="72">
        <f t="shared" si="73"/>
        <v>0</v>
      </c>
      <c r="AQ49" s="72">
        <f t="shared" si="74"/>
        <v>0</v>
      </c>
      <c r="AR49" s="72">
        <f t="shared" si="75"/>
        <v>3823.2999999999997</v>
      </c>
      <c r="AS49" s="72">
        <f t="shared" si="76"/>
        <v>6500</v>
      </c>
      <c r="AT49" s="301"/>
      <c r="AU49" s="72">
        <f t="shared" si="77"/>
        <v>0</v>
      </c>
      <c r="AV49" s="72">
        <f t="shared" si="78"/>
        <v>0</v>
      </c>
      <c r="AW49" s="72">
        <f t="shared" si="79"/>
        <v>0</v>
      </c>
      <c r="AX49" s="72">
        <f t="shared" si="80"/>
        <v>582.4</v>
      </c>
      <c r="AY49" s="72">
        <f t="shared" si="81"/>
        <v>0</v>
      </c>
      <c r="AZ49" s="301"/>
      <c r="BG49" s="72">
        <f t="shared" si="82"/>
        <v>0</v>
      </c>
      <c r="BH49" s="72">
        <f t="shared" si="83"/>
        <v>0</v>
      </c>
      <c r="BI49" s="72">
        <f t="shared" si="84"/>
        <v>0</v>
      </c>
      <c r="BJ49" s="72">
        <f t="shared" si="85"/>
        <v>1326.65</v>
      </c>
      <c r="BK49" s="72">
        <f t="shared" si="86"/>
        <v>0</v>
      </c>
      <c r="BL49" s="301"/>
      <c r="CE49" s="72">
        <f t="shared" si="87"/>
        <v>0</v>
      </c>
      <c r="CF49" s="72">
        <f t="shared" si="88"/>
        <v>0</v>
      </c>
      <c r="CG49" s="72">
        <f t="shared" si="89"/>
        <v>0</v>
      </c>
      <c r="CH49" s="72">
        <f t="shared" si="90"/>
        <v>38.35</v>
      </c>
      <c r="CI49" s="72">
        <f t="shared" si="91"/>
        <v>0</v>
      </c>
      <c r="CJ49" s="301"/>
      <c r="CK49" s="72">
        <f t="shared" si="92"/>
        <v>0</v>
      </c>
      <c r="CL49" s="72">
        <f t="shared" si="93"/>
        <v>0</v>
      </c>
      <c r="CM49" s="72">
        <f t="shared" si="94"/>
        <v>0</v>
      </c>
      <c r="CN49" s="72">
        <f t="shared" si="95"/>
        <v>729.3</v>
      </c>
      <c r="CO49" s="72">
        <f t="shared" si="96"/>
        <v>0</v>
      </c>
      <c r="CP49" s="301"/>
    </row>
    <row r="50" spans="1:94" x14ac:dyDescent="0.25">
      <c r="A50" s="3" t="s">
        <v>246</v>
      </c>
      <c r="B50" s="3" t="s">
        <v>99</v>
      </c>
      <c r="C50" s="3" t="s">
        <v>47</v>
      </c>
      <c r="D50" s="3" t="s">
        <v>48</v>
      </c>
      <c r="E50" s="3" t="s">
        <v>48</v>
      </c>
      <c r="F50" s="3" t="s">
        <v>419</v>
      </c>
      <c r="G50" t="s">
        <v>100</v>
      </c>
      <c r="H50" s="67">
        <f t="shared" si="100"/>
        <v>22562.25</v>
      </c>
      <c r="I50" s="67">
        <f t="shared" si="100"/>
        <v>22562.25</v>
      </c>
      <c r="J50" s="67">
        <f t="shared" si="100"/>
        <v>22562.25</v>
      </c>
      <c r="K50" s="67">
        <f t="shared" si="100"/>
        <v>22562.25</v>
      </c>
      <c r="L50" s="705">
        <v>90249</v>
      </c>
      <c r="N50" s="209" t="s">
        <v>705</v>
      </c>
      <c r="P50" s="195">
        <f>INDEX('Apportionment Bases'!AK$6:AK$33,MATCH('PC17'!$N50,'Apportionment Bases'!$A$6:$A$33,0))</f>
        <v>0</v>
      </c>
      <c r="Q50" s="195">
        <f>INDEX('Apportionment Bases'!AL$6:AL$33,MATCH('PC17'!$N50,'Apportionment Bases'!$A$6:$A$33,0))</f>
        <v>0</v>
      </c>
      <c r="R50" s="195">
        <f>INDEX('Apportionment Bases'!AM$6:AM$33,MATCH('PC17'!$N50,'Apportionment Bases'!$A$6:$A$33,0))</f>
        <v>0</v>
      </c>
      <c r="S50" s="195">
        <f>INDEX('Apportionment Bases'!AN$6:AN$33,MATCH('PC17'!$N50,'Apportionment Bases'!$A$6:$A$33,0))</f>
        <v>0.5</v>
      </c>
      <c r="T50" s="195">
        <f>INDEX('Apportionment Bases'!AO$6:AO$33,MATCH('PC17'!$N50,'Apportionment Bases'!$A$6:$A$33,0))</f>
        <v>0.5</v>
      </c>
      <c r="V50" s="72">
        <f t="shared" si="69"/>
        <v>0</v>
      </c>
      <c r="W50" s="72">
        <f t="shared" si="70"/>
        <v>0</v>
      </c>
      <c r="X50" s="72">
        <f t="shared" si="97"/>
        <v>0</v>
      </c>
      <c r="Y50" s="72">
        <f t="shared" si="98"/>
        <v>45124.5</v>
      </c>
      <c r="Z50" s="72">
        <f t="shared" si="99"/>
        <v>45124.5</v>
      </c>
      <c r="AA50" s="272" t="str">
        <f t="shared" si="71"/>
        <v>TRUE</v>
      </c>
      <c r="AH50" s="301"/>
      <c r="AO50" s="72">
        <f t="shared" si="72"/>
        <v>0</v>
      </c>
      <c r="AP50" s="72">
        <f t="shared" si="73"/>
        <v>0</v>
      </c>
      <c r="AQ50" s="72">
        <f t="shared" si="74"/>
        <v>0</v>
      </c>
      <c r="AR50" s="72">
        <f t="shared" si="75"/>
        <v>26542.230899999999</v>
      </c>
      <c r="AS50" s="72">
        <f t="shared" si="76"/>
        <v>45124.5</v>
      </c>
      <c r="AT50" s="301"/>
      <c r="AU50" s="72">
        <f t="shared" si="77"/>
        <v>0</v>
      </c>
      <c r="AV50" s="72">
        <f t="shared" si="78"/>
        <v>0</v>
      </c>
      <c r="AW50" s="72">
        <f t="shared" si="79"/>
        <v>0</v>
      </c>
      <c r="AX50" s="72">
        <f t="shared" si="80"/>
        <v>4043.1552000000001</v>
      </c>
      <c r="AY50" s="72">
        <f t="shared" si="81"/>
        <v>0</v>
      </c>
      <c r="AZ50" s="301"/>
      <c r="BG50" s="72">
        <f t="shared" si="82"/>
        <v>0</v>
      </c>
      <c r="BH50" s="72">
        <f t="shared" si="83"/>
        <v>0</v>
      </c>
      <c r="BI50" s="72">
        <f t="shared" si="84"/>
        <v>0</v>
      </c>
      <c r="BJ50" s="72">
        <f t="shared" si="85"/>
        <v>9209.9104499999994</v>
      </c>
      <c r="BK50" s="72">
        <f t="shared" si="86"/>
        <v>0</v>
      </c>
      <c r="BL50" s="301"/>
      <c r="CE50" s="72">
        <f t="shared" si="87"/>
        <v>0</v>
      </c>
      <c r="CF50" s="72">
        <f t="shared" si="88"/>
        <v>0</v>
      </c>
      <c r="CG50" s="72">
        <f t="shared" si="89"/>
        <v>0</v>
      </c>
      <c r="CH50" s="72">
        <f t="shared" si="90"/>
        <v>266.23455000000001</v>
      </c>
      <c r="CI50" s="72">
        <f t="shared" si="91"/>
        <v>0</v>
      </c>
      <c r="CJ50" s="301"/>
      <c r="CK50" s="72">
        <f t="shared" si="92"/>
        <v>0</v>
      </c>
      <c r="CL50" s="72">
        <f t="shared" si="93"/>
        <v>0</v>
      </c>
      <c r="CM50" s="72">
        <f t="shared" si="94"/>
        <v>0</v>
      </c>
      <c r="CN50" s="72">
        <f t="shared" si="95"/>
        <v>5062.9688999999998</v>
      </c>
      <c r="CO50" s="72">
        <f t="shared" si="96"/>
        <v>0</v>
      </c>
      <c r="CP50" s="301"/>
    </row>
    <row r="51" spans="1:94" x14ac:dyDescent="0.25">
      <c r="A51" s="3" t="s">
        <v>246</v>
      </c>
      <c r="B51" s="3" t="s">
        <v>99</v>
      </c>
      <c r="C51" s="3" t="s">
        <v>45</v>
      </c>
      <c r="D51" s="3" t="s">
        <v>48</v>
      </c>
      <c r="E51" s="3" t="s">
        <v>48</v>
      </c>
      <c r="F51" s="3" t="s">
        <v>420</v>
      </c>
      <c r="G51" t="s">
        <v>100</v>
      </c>
      <c r="H51" s="67">
        <f t="shared" si="100"/>
        <v>0</v>
      </c>
      <c r="I51" s="67">
        <f t="shared" si="100"/>
        <v>0</v>
      </c>
      <c r="J51" s="67">
        <f t="shared" si="100"/>
        <v>0</v>
      </c>
      <c r="K51" s="67">
        <f t="shared" si="100"/>
        <v>0</v>
      </c>
      <c r="L51" s="705">
        <v>0</v>
      </c>
      <c r="N51" s="209" t="s">
        <v>705</v>
      </c>
      <c r="P51" s="195">
        <f>INDEX('Apportionment Bases'!AK$6:AK$33,MATCH('PC17'!$N51,'Apportionment Bases'!$A$6:$A$33,0))</f>
        <v>0</v>
      </c>
      <c r="Q51" s="195">
        <f>INDEX('Apportionment Bases'!AL$6:AL$33,MATCH('PC17'!$N51,'Apportionment Bases'!$A$6:$A$33,0))</f>
        <v>0</v>
      </c>
      <c r="R51" s="195">
        <f>INDEX('Apportionment Bases'!AM$6:AM$33,MATCH('PC17'!$N51,'Apportionment Bases'!$A$6:$A$33,0))</f>
        <v>0</v>
      </c>
      <c r="S51" s="195">
        <f>INDEX('Apportionment Bases'!AN$6:AN$33,MATCH('PC17'!$N51,'Apportionment Bases'!$A$6:$A$33,0))</f>
        <v>0.5</v>
      </c>
      <c r="T51" s="195">
        <f>INDEX('Apportionment Bases'!AO$6:AO$33,MATCH('PC17'!$N51,'Apportionment Bases'!$A$6:$A$33,0))</f>
        <v>0.5</v>
      </c>
      <c r="V51" s="72">
        <f t="shared" si="69"/>
        <v>0</v>
      </c>
      <c r="W51" s="72">
        <f t="shared" si="70"/>
        <v>0</v>
      </c>
      <c r="X51" s="72">
        <f t="shared" si="97"/>
        <v>0</v>
      </c>
      <c r="Y51" s="72">
        <f t="shared" si="98"/>
        <v>0</v>
      </c>
      <c r="Z51" s="72">
        <f t="shared" si="99"/>
        <v>0</v>
      </c>
      <c r="AA51" s="272" t="str">
        <f t="shared" si="71"/>
        <v>TRUE</v>
      </c>
      <c r="AH51" s="301"/>
      <c r="AO51" s="72">
        <f t="shared" si="72"/>
        <v>0</v>
      </c>
      <c r="AP51" s="72">
        <f t="shared" si="73"/>
        <v>0</v>
      </c>
      <c r="AQ51" s="72">
        <f t="shared" si="74"/>
        <v>0</v>
      </c>
      <c r="AR51" s="72">
        <f t="shared" si="75"/>
        <v>0</v>
      </c>
      <c r="AS51" s="72">
        <f t="shared" si="76"/>
        <v>0</v>
      </c>
      <c r="AT51" s="301"/>
      <c r="AU51" s="72">
        <f t="shared" si="77"/>
        <v>0</v>
      </c>
      <c r="AV51" s="72">
        <f t="shared" si="78"/>
        <v>0</v>
      </c>
      <c r="AW51" s="72">
        <f t="shared" si="79"/>
        <v>0</v>
      </c>
      <c r="AX51" s="72">
        <f t="shared" si="80"/>
        <v>0</v>
      </c>
      <c r="AY51" s="72">
        <f t="shared" si="81"/>
        <v>0</v>
      </c>
      <c r="AZ51" s="301"/>
      <c r="BG51" s="72">
        <f t="shared" si="82"/>
        <v>0</v>
      </c>
      <c r="BH51" s="72">
        <f t="shared" si="83"/>
        <v>0</v>
      </c>
      <c r="BI51" s="72">
        <f t="shared" si="84"/>
        <v>0</v>
      </c>
      <c r="BJ51" s="72">
        <f t="shared" si="85"/>
        <v>0</v>
      </c>
      <c r="BK51" s="72">
        <f t="shared" si="86"/>
        <v>0</v>
      </c>
      <c r="BL51" s="301"/>
      <c r="CE51" s="72">
        <f t="shared" si="87"/>
        <v>0</v>
      </c>
      <c r="CF51" s="72">
        <f t="shared" si="88"/>
        <v>0</v>
      </c>
      <c r="CG51" s="72">
        <f t="shared" si="89"/>
        <v>0</v>
      </c>
      <c r="CH51" s="72">
        <f t="shared" si="90"/>
        <v>0</v>
      </c>
      <c r="CI51" s="72">
        <f t="shared" si="91"/>
        <v>0</v>
      </c>
      <c r="CJ51" s="301"/>
      <c r="CK51" s="72">
        <f t="shared" si="92"/>
        <v>0</v>
      </c>
      <c r="CL51" s="72">
        <f t="shared" si="93"/>
        <v>0</v>
      </c>
      <c r="CM51" s="72">
        <f t="shared" si="94"/>
        <v>0</v>
      </c>
      <c r="CN51" s="72">
        <f t="shared" si="95"/>
        <v>0</v>
      </c>
      <c r="CO51" s="72">
        <f t="shared" si="96"/>
        <v>0</v>
      </c>
      <c r="CP51" s="301"/>
    </row>
    <row r="52" spans="1:94" x14ac:dyDescent="0.25">
      <c r="A52" s="3" t="s">
        <v>246</v>
      </c>
      <c r="B52" s="3" t="s">
        <v>101</v>
      </c>
      <c r="C52" s="3" t="s">
        <v>47</v>
      </c>
      <c r="D52" s="3" t="s">
        <v>48</v>
      </c>
      <c r="E52" s="3" t="s">
        <v>48</v>
      </c>
      <c r="F52" s="3" t="s">
        <v>421</v>
      </c>
      <c r="G52" t="s">
        <v>102</v>
      </c>
      <c r="H52" s="67">
        <f t="shared" si="100"/>
        <v>6250</v>
      </c>
      <c r="I52" s="67">
        <f t="shared" si="100"/>
        <v>6250</v>
      </c>
      <c r="J52" s="67">
        <f t="shared" si="100"/>
        <v>6250</v>
      </c>
      <c r="K52" s="67">
        <f t="shared" si="100"/>
        <v>6250</v>
      </c>
      <c r="L52" s="705">
        <v>25000</v>
      </c>
      <c r="N52" s="209" t="s">
        <v>705</v>
      </c>
      <c r="P52" s="195">
        <f>INDEX('Apportionment Bases'!AK$6:AK$33,MATCH('PC17'!$N52,'Apportionment Bases'!$A$6:$A$33,0))</f>
        <v>0</v>
      </c>
      <c r="Q52" s="195">
        <f>INDEX('Apportionment Bases'!AL$6:AL$33,MATCH('PC17'!$N52,'Apportionment Bases'!$A$6:$A$33,0))</f>
        <v>0</v>
      </c>
      <c r="R52" s="195">
        <f>INDEX('Apportionment Bases'!AM$6:AM$33,MATCH('PC17'!$N52,'Apportionment Bases'!$A$6:$A$33,0))</f>
        <v>0</v>
      </c>
      <c r="S52" s="195">
        <f>INDEX('Apportionment Bases'!AN$6:AN$33,MATCH('PC17'!$N52,'Apportionment Bases'!$A$6:$A$33,0))</f>
        <v>0.5</v>
      </c>
      <c r="T52" s="195">
        <f>INDEX('Apportionment Bases'!AO$6:AO$33,MATCH('PC17'!$N52,'Apportionment Bases'!$A$6:$A$33,0))</f>
        <v>0.5</v>
      </c>
      <c r="V52" s="72">
        <f t="shared" si="69"/>
        <v>0</v>
      </c>
      <c r="W52" s="72">
        <f t="shared" si="70"/>
        <v>0</v>
      </c>
      <c r="X52" s="72">
        <f t="shared" si="97"/>
        <v>0</v>
      </c>
      <c r="Y52" s="72">
        <f t="shared" si="98"/>
        <v>12500</v>
      </c>
      <c r="Z52" s="72">
        <f t="shared" si="99"/>
        <v>12500</v>
      </c>
      <c r="AA52" s="272" t="str">
        <f t="shared" si="71"/>
        <v>TRUE</v>
      </c>
      <c r="AH52" s="301"/>
      <c r="AO52" s="72">
        <f t="shared" si="72"/>
        <v>0</v>
      </c>
      <c r="AP52" s="72">
        <f t="shared" si="73"/>
        <v>0</v>
      </c>
      <c r="AQ52" s="72">
        <f t="shared" si="74"/>
        <v>0</v>
      </c>
      <c r="AR52" s="72">
        <f t="shared" si="75"/>
        <v>7352.4999999999991</v>
      </c>
      <c r="AS52" s="72">
        <f t="shared" si="76"/>
        <v>12500</v>
      </c>
      <c r="AT52" s="301"/>
      <c r="AU52" s="72">
        <f t="shared" si="77"/>
        <v>0</v>
      </c>
      <c r="AV52" s="72">
        <f t="shared" si="78"/>
        <v>0</v>
      </c>
      <c r="AW52" s="72">
        <f t="shared" si="79"/>
        <v>0</v>
      </c>
      <c r="AX52" s="72">
        <f t="shared" si="80"/>
        <v>1120</v>
      </c>
      <c r="AY52" s="72">
        <f t="shared" si="81"/>
        <v>0</v>
      </c>
      <c r="AZ52" s="301"/>
      <c r="BG52" s="72">
        <f t="shared" si="82"/>
        <v>0</v>
      </c>
      <c r="BH52" s="72">
        <f t="shared" si="83"/>
        <v>0</v>
      </c>
      <c r="BI52" s="72">
        <f t="shared" si="84"/>
        <v>0</v>
      </c>
      <c r="BJ52" s="72">
        <f t="shared" si="85"/>
        <v>2551.25</v>
      </c>
      <c r="BK52" s="72">
        <f t="shared" si="86"/>
        <v>0</v>
      </c>
      <c r="BL52" s="301"/>
      <c r="CE52" s="72">
        <f t="shared" si="87"/>
        <v>0</v>
      </c>
      <c r="CF52" s="72">
        <f t="shared" si="88"/>
        <v>0</v>
      </c>
      <c r="CG52" s="72">
        <f t="shared" si="89"/>
        <v>0</v>
      </c>
      <c r="CH52" s="72">
        <f t="shared" si="90"/>
        <v>73.75</v>
      </c>
      <c r="CI52" s="72">
        <f t="shared" si="91"/>
        <v>0</v>
      </c>
      <c r="CJ52" s="301"/>
      <c r="CK52" s="72">
        <f t="shared" si="92"/>
        <v>0</v>
      </c>
      <c r="CL52" s="72">
        <f t="shared" si="93"/>
        <v>0</v>
      </c>
      <c r="CM52" s="72">
        <f t="shared" si="94"/>
        <v>0</v>
      </c>
      <c r="CN52" s="72">
        <f t="shared" si="95"/>
        <v>1402.5</v>
      </c>
      <c r="CO52" s="72">
        <f t="shared" si="96"/>
        <v>0</v>
      </c>
      <c r="CP52" s="301"/>
    </row>
    <row r="53" spans="1:94" x14ac:dyDescent="0.25">
      <c r="A53" s="3" t="s">
        <v>246</v>
      </c>
      <c r="B53" s="3" t="s">
        <v>103</v>
      </c>
      <c r="C53" s="3" t="s">
        <v>47</v>
      </c>
      <c r="D53" s="3" t="s">
        <v>48</v>
      </c>
      <c r="E53" s="3" t="s">
        <v>48</v>
      </c>
      <c r="F53" s="3" t="s">
        <v>422</v>
      </c>
      <c r="G53" t="s">
        <v>104</v>
      </c>
      <c r="H53" s="67">
        <f t="shared" si="100"/>
        <v>250</v>
      </c>
      <c r="I53" s="67">
        <f t="shared" si="100"/>
        <v>250</v>
      </c>
      <c r="J53" s="67">
        <f t="shared" si="100"/>
        <v>250</v>
      </c>
      <c r="K53" s="67">
        <f t="shared" si="100"/>
        <v>250</v>
      </c>
      <c r="L53" s="705">
        <v>1000</v>
      </c>
      <c r="N53" s="209" t="s">
        <v>705</v>
      </c>
      <c r="P53" s="195">
        <f>INDEX('Apportionment Bases'!AK$6:AK$33,MATCH('PC17'!$N53,'Apportionment Bases'!$A$6:$A$33,0))</f>
        <v>0</v>
      </c>
      <c r="Q53" s="195">
        <f>INDEX('Apportionment Bases'!AL$6:AL$33,MATCH('PC17'!$N53,'Apportionment Bases'!$A$6:$A$33,0))</f>
        <v>0</v>
      </c>
      <c r="R53" s="195">
        <f>INDEX('Apportionment Bases'!AM$6:AM$33,MATCH('PC17'!$N53,'Apportionment Bases'!$A$6:$A$33,0))</f>
        <v>0</v>
      </c>
      <c r="S53" s="195">
        <f>INDEX('Apportionment Bases'!AN$6:AN$33,MATCH('PC17'!$N53,'Apportionment Bases'!$A$6:$A$33,0))</f>
        <v>0.5</v>
      </c>
      <c r="T53" s="195">
        <f>INDEX('Apportionment Bases'!AO$6:AO$33,MATCH('PC17'!$N53,'Apportionment Bases'!$A$6:$A$33,0))</f>
        <v>0.5</v>
      </c>
      <c r="V53" s="72">
        <f t="shared" si="69"/>
        <v>0</v>
      </c>
      <c r="W53" s="72">
        <f t="shared" si="70"/>
        <v>0</v>
      </c>
      <c r="X53" s="72">
        <f t="shared" si="97"/>
        <v>0</v>
      </c>
      <c r="Y53" s="72">
        <f t="shared" si="98"/>
        <v>500</v>
      </c>
      <c r="Z53" s="72">
        <f t="shared" si="99"/>
        <v>500</v>
      </c>
      <c r="AA53" s="272" t="str">
        <f t="shared" si="71"/>
        <v>TRUE</v>
      </c>
      <c r="AH53" s="301"/>
      <c r="AO53" s="72">
        <f t="shared" si="72"/>
        <v>0</v>
      </c>
      <c r="AP53" s="72">
        <f t="shared" si="73"/>
        <v>0</v>
      </c>
      <c r="AQ53" s="72">
        <f t="shared" si="74"/>
        <v>0</v>
      </c>
      <c r="AR53" s="72">
        <f t="shared" si="75"/>
        <v>294.09999999999997</v>
      </c>
      <c r="AS53" s="72">
        <f t="shared" si="76"/>
        <v>500</v>
      </c>
      <c r="AT53" s="301"/>
      <c r="AU53" s="72">
        <f t="shared" si="77"/>
        <v>0</v>
      </c>
      <c r="AV53" s="72">
        <f t="shared" si="78"/>
        <v>0</v>
      </c>
      <c r="AW53" s="72">
        <f t="shared" si="79"/>
        <v>0</v>
      </c>
      <c r="AX53" s="72">
        <f t="shared" si="80"/>
        <v>44.8</v>
      </c>
      <c r="AY53" s="72">
        <f t="shared" si="81"/>
        <v>0</v>
      </c>
      <c r="AZ53" s="301"/>
      <c r="BG53" s="72">
        <f t="shared" si="82"/>
        <v>0</v>
      </c>
      <c r="BH53" s="72">
        <f t="shared" si="83"/>
        <v>0</v>
      </c>
      <c r="BI53" s="72">
        <f t="shared" si="84"/>
        <v>0</v>
      </c>
      <c r="BJ53" s="72">
        <f t="shared" si="85"/>
        <v>102.05</v>
      </c>
      <c r="BK53" s="72">
        <f t="shared" si="86"/>
        <v>0</v>
      </c>
      <c r="BL53" s="301"/>
      <c r="CE53" s="72">
        <f t="shared" si="87"/>
        <v>0</v>
      </c>
      <c r="CF53" s="72">
        <f t="shared" si="88"/>
        <v>0</v>
      </c>
      <c r="CG53" s="72">
        <f t="shared" si="89"/>
        <v>0</v>
      </c>
      <c r="CH53" s="72">
        <f t="shared" si="90"/>
        <v>2.9499999999999997</v>
      </c>
      <c r="CI53" s="72">
        <f t="shared" si="91"/>
        <v>0</v>
      </c>
      <c r="CJ53" s="301"/>
      <c r="CK53" s="72">
        <f t="shared" si="92"/>
        <v>0</v>
      </c>
      <c r="CL53" s="72">
        <f t="shared" si="93"/>
        <v>0</v>
      </c>
      <c r="CM53" s="72">
        <f t="shared" si="94"/>
        <v>0</v>
      </c>
      <c r="CN53" s="72">
        <f t="shared" si="95"/>
        <v>56.099999999999994</v>
      </c>
      <c r="CO53" s="72">
        <f t="shared" si="96"/>
        <v>0</v>
      </c>
      <c r="CP53" s="301"/>
    </row>
    <row r="54" spans="1:94" x14ac:dyDescent="0.25">
      <c r="A54" s="3" t="s">
        <v>246</v>
      </c>
      <c r="B54" s="3" t="s">
        <v>105</v>
      </c>
      <c r="C54" s="3" t="s">
        <v>47</v>
      </c>
      <c r="D54" s="3" t="s">
        <v>48</v>
      </c>
      <c r="E54" s="3" t="s">
        <v>48</v>
      </c>
      <c r="F54" s="3" t="s">
        <v>423</v>
      </c>
      <c r="G54" t="s">
        <v>106</v>
      </c>
      <c r="H54" s="67">
        <f t="shared" si="100"/>
        <v>0</v>
      </c>
      <c r="I54" s="67">
        <f t="shared" si="100"/>
        <v>0</v>
      </c>
      <c r="J54" s="67">
        <f t="shared" si="100"/>
        <v>0</v>
      </c>
      <c r="K54" s="67">
        <f t="shared" si="100"/>
        <v>0</v>
      </c>
      <c r="L54" s="705">
        <v>0</v>
      </c>
      <c r="N54" s="209" t="s">
        <v>705</v>
      </c>
      <c r="P54" s="195">
        <f>INDEX('Apportionment Bases'!AK$6:AK$33,MATCH('PC17'!$N54,'Apportionment Bases'!$A$6:$A$33,0))</f>
        <v>0</v>
      </c>
      <c r="Q54" s="195">
        <f>INDEX('Apportionment Bases'!AL$6:AL$33,MATCH('PC17'!$N54,'Apportionment Bases'!$A$6:$A$33,0))</f>
        <v>0</v>
      </c>
      <c r="R54" s="195">
        <f>INDEX('Apportionment Bases'!AM$6:AM$33,MATCH('PC17'!$N54,'Apportionment Bases'!$A$6:$A$33,0))</f>
        <v>0</v>
      </c>
      <c r="S54" s="195">
        <f>INDEX('Apportionment Bases'!AN$6:AN$33,MATCH('PC17'!$N54,'Apportionment Bases'!$A$6:$A$33,0))</f>
        <v>0.5</v>
      </c>
      <c r="T54" s="195">
        <f>INDEX('Apportionment Bases'!AO$6:AO$33,MATCH('PC17'!$N54,'Apportionment Bases'!$A$6:$A$33,0))</f>
        <v>0.5</v>
      </c>
      <c r="V54" s="72">
        <f t="shared" si="69"/>
        <v>0</v>
      </c>
      <c r="W54" s="72">
        <f t="shared" si="70"/>
        <v>0</v>
      </c>
      <c r="X54" s="72">
        <f t="shared" si="97"/>
        <v>0</v>
      </c>
      <c r="Y54" s="72">
        <f t="shared" si="98"/>
        <v>0</v>
      </c>
      <c r="Z54" s="72">
        <f t="shared" si="99"/>
        <v>0</v>
      </c>
      <c r="AA54" s="272" t="str">
        <f t="shared" si="71"/>
        <v>TRUE</v>
      </c>
      <c r="AH54" s="301"/>
      <c r="AO54" s="72">
        <f t="shared" si="72"/>
        <v>0</v>
      </c>
      <c r="AP54" s="72">
        <f t="shared" si="73"/>
        <v>0</v>
      </c>
      <c r="AQ54" s="72">
        <f t="shared" si="74"/>
        <v>0</v>
      </c>
      <c r="AR54" s="72">
        <f t="shared" si="75"/>
        <v>0</v>
      </c>
      <c r="AS54" s="72">
        <f t="shared" si="76"/>
        <v>0</v>
      </c>
      <c r="AT54" s="301"/>
      <c r="AU54" s="72">
        <f t="shared" si="77"/>
        <v>0</v>
      </c>
      <c r="AV54" s="72">
        <f t="shared" si="78"/>
        <v>0</v>
      </c>
      <c r="AW54" s="72">
        <f t="shared" si="79"/>
        <v>0</v>
      </c>
      <c r="AX54" s="72">
        <f t="shared" si="80"/>
        <v>0</v>
      </c>
      <c r="AY54" s="72">
        <f t="shared" si="81"/>
        <v>0</v>
      </c>
      <c r="AZ54" s="301"/>
      <c r="BG54" s="72">
        <f t="shared" si="82"/>
        <v>0</v>
      </c>
      <c r="BH54" s="72">
        <f t="shared" si="83"/>
        <v>0</v>
      </c>
      <c r="BI54" s="72">
        <f t="shared" si="84"/>
        <v>0</v>
      </c>
      <c r="BJ54" s="72">
        <f t="shared" si="85"/>
        <v>0</v>
      </c>
      <c r="BK54" s="72">
        <f t="shared" si="86"/>
        <v>0</v>
      </c>
      <c r="BL54" s="301"/>
      <c r="CE54" s="72">
        <f t="shared" si="87"/>
        <v>0</v>
      </c>
      <c r="CF54" s="72">
        <f t="shared" si="88"/>
        <v>0</v>
      </c>
      <c r="CG54" s="72">
        <f t="shared" si="89"/>
        <v>0</v>
      </c>
      <c r="CH54" s="72">
        <f t="shared" si="90"/>
        <v>0</v>
      </c>
      <c r="CI54" s="72">
        <f t="shared" si="91"/>
        <v>0</v>
      </c>
      <c r="CJ54" s="301"/>
      <c r="CK54" s="72">
        <f t="shared" si="92"/>
        <v>0</v>
      </c>
      <c r="CL54" s="72">
        <f t="shared" si="93"/>
        <v>0</v>
      </c>
      <c r="CM54" s="72">
        <f t="shared" si="94"/>
        <v>0</v>
      </c>
      <c r="CN54" s="72">
        <f t="shared" si="95"/>
        <v>0</v>
      </c>
      <c r="CO54" s="72">
        <f t="shared" si="96"/>
        <v>0</v>
      </c>
      <c r="CP54" s="301"/>
    </row>
    <row r="55" spans="1:94" x14ac:dyDescent="0.25">
      <c r="A55" s="3" t="s">
        <v>246</v>
      </c>
      <c r="B55" s="3" t="s">
        <v>105</v>
      </c>
      <c r="C55" s="3" t="s">
        <v>45</v>
      </c>
      <c r="D55" s="3" t="s">
        <v>48</v>
      </c>
      <c r="E55" s="3" t="s">
        <v>48</v>
      </c>
      <c r="F55" s="3" t="s">
        <v>424</v>
      </c>
      <c r="G55" t="s">
        <v>106</v>
      </c>
      <c r="H55" s="67">
        <f t="shared" si="100"/>
        <v>7838</v>
      </c>
      <c r="I55" s="67">
        <f t="shared" si="100"/>
        <v>7838</v>
      </c>
      <c r="J55" s="67">
        <f t="shared" si="100"/>
        <v>7838</v>
      </c>
      <c r="K55" s="67">
        <f t="shared" si="100"/>
        <v>7838</v>
      </c>
      <c r="L55" s="705">
        <v>31352</v>
      </c>
      <c r="N55" s="209" t="s">
        <v>705</v>
      </c>
      <c r="P55" s="195">
        <f>INDEX('Apportionment Bases'!AK$6:AK$33,MATCH('PC17'!$N55,'Apportionment Bases'!$A$6:$A$33,0))</f>
        <v>0</v>
      </c>
      <c r="Q55" s="195">
        <f>INDEX('Apportionment Bases'!AL$6:AL$33,MATCH('PC17'!$N55,'Apportionment Bases'!$A$6:$A$33,0))</f>
        <v>0</v>
      </c>
      <c r="R55" s="195">
        <f>INDEX('Apportionment Bases'!AM$6:AM$33,MATCH('PC17'!$N55,'Apportionment Bases'!$A$6:$A$33,0))</f>
        <v>0</v>
      </c>
      <c r="S55" s="195">
        <f>INDEX('Apportionment Bases'!AN$6:AN$33,MATCH('PC17'!$N55,'Apportionment Bases'!$A$6:$A$33,0))</f>
        <v>0.5</v>
      </c>
      <c r="T55" s="195">
        <f>INDEX('Apportionment Bases'!AO$6:AO$33,MATCH('PC17'!$N55,'Apportionment Bases'!$A$6:$A$33,0))</f>
        <v>0.5</v>
      </c>
      <c r="V55" s="72">
        <f t="shared" si="69"/>
        <v>0</v>
      </c>
      <c r="W55" s="72">
        <f t="shared" si="70"/>
        <v>0</v>
      </c>
      <c r="X55" s="72">
        <f t="shared" si="97"/>
        <v>0</v>
      </c>
      <c r="Y55" s="72">
        <f t="shared" si="98"/>
        <v>15676</v>
      </c>
      <c r="Z55" s="72">
        <f t="shared" si="99"/>
        <v>15676</v>
      </c>
      <c r="AA55" s="272" t="str">
        <f t="shared" si="71"/>
        <v>TRUE</v>
      </c>
      <c r="AH55" s="301"/>
      <c r="AO55" s="72">
        <f t="shared" si="72"/>
        <v>0</v>
      </c>
      <c r="AP55" s="72">
        <f t="shared" si="73"/>
        <v>0</v>
      </c>
      <c r="AQ55" s="72">
        <f t="shared" si="74"/>
        <v>0</v>
      </c>
      <c r="AR55" s="72">
        <f t="shared" si="75"/>
        <v>9220.6232</v>
      </c>
      <c r="AS55" s="72">
        <f t="shared" si="76"/>
        <v>15676</v>
      </c>
      <c r="AT55" s="301"/>
      <c r="AU55" s="72">
        <f t="shared" si="77"/>
        <v>0</v>
      </c>
      <c r="AV55" s="72">
        <f t="shared" si="78"/>
        <v>0</v>
      </c>
      <c r="AW55" s="72">
        <f t="shared" si="79"/>
        <v>0</v>
      </c>
      <c r="AX55" s="72">
        <f t="shared" si="80"/>
        <v>1404.5696</v>
      </c>
      <c r="AY55" s="72">
        <f t="shared" si="81"/>
        <v>0</v>
      </c>
      <c r="AZ55" s="301"/>
      <c r="BG55" s="72">
        <f t="shared" si="82"/>
        <v>0</v>
      </c>
      <c r="BH55" s="72">
        <f t="shared" si="83"/>
        <v>0</v>
      </c>
      <c r="BI55" s="72">
        <f t="shared" si="84"/>
        <v>0</v>
      </c>
      <c r="BJ55" s="72">
        <f t="shared" si="85"/>
        <v>3199.4715999999999</v>
      </c>
      <c r="BK55" s="72">
        <f t="shared" si="86"/>
        <v>0</v>
      </c>
      <c r="BL55" s="301"/>
      <c r="CE55" s="72">
        <f t="shared" si="87"/>
        <v>0</v>
      </c>
      <c r="CF55" s="72">
        <f t="shared" si="88"/>
        <v>0</v>
      </c>
      <c r="CG55" s="72">
        <f t="shared" si="89"/>
        <v>0</v>
      </c>
      <c r="CH55" s="72">
        <f t="shared" si="90"/>
        <v>92.488399999999999</v>
      </c>
      <c r="CI55" s="72">
        <f t="shared" si="91"/>
        <v>0</v>
      </c>
      <c r="CJ55" s="301"/>
      <c r="CK55" s="72">
        <f t="shared" si="92"/>
        <v>0</v>
      </c>
      <c r="CL55" s="72">
        <f t="shared" si="93"/>
        <v>0</v>
      </c>
      <c r="CM55" s="72">
        <f t="shared" si="94"/>
        <v>0</v>
      </c>
      <c r="CN55" s="72">
        <f t="shared" si="95"/>
        <v>1758.8471999999999</v>
      </c>
      <c r="CO55" s="72">
        <f t="shared" si="96"/>
        <v>0</v>
      </c>
      <c r="CP55" s="301"/>
    </row>
    <row r="56" spans="1:94" x14ac:dyDescent="0.25">
      <c r="A56" s="3" t="s">
        <v>246</v>
      </c>
      <c r="B56" s="3" t="s">
        <v>107</v>
      </c>
      <c r="C56" s="3" t="s">
        <v>47</v>
      </c>
      <c r="D56" s="3" t="s">
        <v>48</v>
      </c>
      <c r="E56" s="3" t="s">
        <v>48</v>
      </c>
      <c r="F56" s="3" t="s">
        <v>425</v>
      </c>
      <c r="G56" t="s">
        <v>108</v>
      </c>
      <c r="H56" s="67">
        <f t="shared" si="100"/>
        <v>750</v>
      </c>
      <c r="I56" s="67">
        <f t="shared" si="100"/>
        <v>750</v>
      </c>
      <c r="J56" s="67">
        <f t="shared" si="100"/>
        <v>750</v>
      </c>
      <c r="K56" s="67">
        <f t="shared" si="100"/>
        <v>750</v>
      </c>
      <c r="L56" s="705">
        <v>3000</v>
      </c>
      <c r="N56" s="209" t="s">
        <v>705</v>
      </c>
      <c r="P56" s="195">
        <f>INDEX('Apportionment Bases'!AK$6:AK$33,MATCH('PC17'!$N56,'Apportionment Bases'!$A$6:$A$33,0))</f>
        <v>0</v>
      </c>
      <c r="Q56" s="195">
        <f>INDEX('Apportionment Bases'!AL$6:AL$33,MATCH('PC17'!$N56,'Apportionment Bases'!$A$6:$A$33,0))</f>
        <v>0</v>
      </c>
      <c r="R56" s="195">
        <f>INDEX('Apportionment Bases'!AM$6:AM$33,MATCH('PC17'!$N56,'Apportionment Bases'!$A$6:$A$33,0))</f>
        <v>0</v>
      </c>
      <c r="S56" s="195">
        <f>INDEX('Apportionment Bases'!AN$6:AN$33,MATCH('PC17'!$N56,'Apportionment Bases'!$A$6:$A$33,0))</f>
        <v>0.5</v>
      </c>
      <c r="T56" s="195">
        <f>INDEX('Apportionment Bases'!AO$6:AO$33,MATCH('PC17'!$N56,'Apportionment Bases'!$A$6:$A$33,0))</f>
        <v>0.5</v>
      </c>
      <c r="V56" s="72">
        <f t="shared" si="69"/>
        <v>0</v>
      </c>
      <c r="W56" s="72">
        <f t="shared" si="70"/>
        <v>0</v>
      </c>
      <c r="X56" s="72">
        <f t="shared" si="97"/>
        <v>0</v>
      </c>
      <c r="Y56" s="72">
        <f t="shared" si="98"/>
        <v>1500</v>
      </c>
      <c r="Z56" s="72">
        <f t="shared" si="99"/>
        <v>1500</v>
      </c>
      <c r="AA56" s="272" t="str">
        <f t="shared" si="71"/>
        <v>TRUE</v>
      </c>
      <c r="AH56" s="301"/>
      <c r="AO56" s="72">
        <f t="shared" ref="AO56:AO87" si="101">$AC$7*V56</f>
        <v>0</v>
      </c>
      <c r="AP56" s="72">
        <f t="shared" ref="AP56:AP87" si="102">$AD$7*W56</f>
        <v>0</v>
      </c>
      <c r="AQ56" s="72">
        <f t="shared" ref="AQ56:AQ87" si="103">$AE$7*X56</f>
        <v>0</v>
      </c>
      <c r="AR56" s="72">
        <f t="shared" ref="AR56:AR87" si="104">$AF$7*Y56</f>
        <v>882.3</v>
      </c>
      <c r="AS56" s="72">
        <f t="shared" ref="AS56:AS87" si="105">$AG$7*Z56</f>
        <v>1500</v>
      </c>
      <c r="AT56" s="301"/>
      <c r="AU56" s="72">
        <f t="shared" ref="AU56:AU87" si="106">$AC$8*V56</f>
        <v>0</v>
      </c>
      <c r="AV56" s="72">
        <f t="shared" ref="AV56:AV87" si="107">$AD$8*W56</f>
        <v>0</v>
      </c>
      <c r="AW56" s="72">
        <f t="shared" ref="AW56:AW87" si="108">$AE$8*X56</f>
        <v>0</v>
      </c>
      <c r="AX56" s="72">
        <f t="shared" ref="AX56:AX87" si="109">$AF$8*Y56</f>
        <v>134.4</v>
      </c>
      <c r="AY56" s="72">
        <f t="shared" ref="AY56:AY87" si="110">$AG$8*Z56</f>
        <v>0</v>
      </c>
      <c r="AZ56" s="301"/>
      <c r="BG56" s="72">
        <f t="shared" ref="BG56:BG87" si="111">$AC$9*V56</f>
        <v>0</v>
      </c>
      <c r="BH56" s="72">
        <f t="shared" ref="BH56:BH87" si="112">$AD$9*W56</f>
        <v>0</v>
      </c>
      <c r="BI56" s="72">
        <f t="shared" ref="BI56:BI87" si="113">$AE$9*X56</f>
        <v>0</v>
      </c>
      <c r="BJ56" s="72">
        <f t="shared" ref="BJ56:BJ87" si="114">$AF$9*Y56</f>
        <v>306.14999999999998</v>
      </c>
      <c r="BK56" s="72">
        <f t="shared" ref="BK56:BK87" si="115">$AG$9*Z56</f>
        <v>0</v>
      </c>
      <c r="BL56" s="301"/>
      <c r="CE56" s="72">
        <f t="shared" ref="CE56:CE87" si="116">$AC$10*V56</f>
        <v>0</v>
      </c>
      <c r="CF56" s="72">
        <f t="shared" ref="CF56:CF87" si="117">$AD$10*W56</f>
        <v>0</v>
      </c>
      <c r="CG56" s="72">
        <f t="shared" ref="CG56:CG87" si="118">$AE$10*X56</f>
        <v>0</v>
      </c>
      <c r="CH56" s="72">
        <f t="shared" ref="CH56:CH87" si="119">$AF$10*Y56</f>
        <v>8.85</v>
      </c>
      <c r="CI56" s="72">
        <f t="shared" ref="CI56:CI87" si="120">$AG$10*Z56</f>
        <v>0</v>
      </c>
      <c r="CJ56" s="301"/>
      <c r="CK56" s="72">
        <f t="shared" ref="CK56:CK87" si="121">$AC$11*V56</f>
        <v>0</v>
      </c>
      <c r="CL56" s="72">
        <f t="shared" ref="CL56:CL87" si="122">$AD$11*W56</f>
        <v>0</v>
      </c>
      <c r="CM56" s="72">
        <f t="shared" ref="CM56:CM87" si="123">$AE$11*X56</f>
        <v>0</v>
      </c>
      <c r="CN56" s="72">
        <f t="shared" ref="CN56:CN87" si="124">$AF$11*Y56</f>
        <v>168.29999999999998</v>
      </c>
      <c r="CO56" s="72">
        <f t="shared" ref="CO56:CO87" si="125">$AG$11*Z56</f>
        <v>0</v>
      </c>
      <c r="CP56" s="301"/>
    </row>
    <row r="57" spans="1:94" x14ac:dyDescent="0.25">
      <c r="A57" s="3" t="s">
        <v>246</v>
      </c>
      <c r="B57" s="3" t="s">
        <v>109</v>
      </c>
      <c r="C57" s="3" t="s">
        <v>47</v>
      </c>
      <c r="D57" s="3" t="s">
        <v>48</v>
      </c>
      <c r="E57" s="3" t="s">
        <v>48</v>
      </c>
      <c r="F57" s="3" t="s">
        <v>426</v>
      </c>
      <c r="G57" t="s">
        <v>110</v>
      </c>
      <c r="H57" s="67">
        <f t="shared" si="100"/>
        <v>0</v>
      </c>
      <c r="I57" s="67">
        <f t="shared" si="100"/>
        <v>0</v>
      </c>
      <c r="J57" s="67">
        <f t="shared" si="100"/>
        <v>0</v>
      </c>
      <c r="K57" s="67">
        <f t="shared" si="100"/>
        <v>0</v>
      </c>
      <c r="L57" s="705">
        <v>0</v>
      </c>
      <c r="N57" s="209" t="s">
        <v>705</v>
      </c>
      <c r="P57" s="195">
        <f>INDEX('Apportionment Bases'!AK$6:AK$33,MATCH('PC17'!$N57,'Apportionment Bases'!$A$6:$A$33,0))</f>
        <v>0</v>
      </c>
      <c r="Q57" s="195">
        <f>INDEX('Apportionment Bases'!AL$6:AL$33,MATCH('PC17'!$N57,'Apportionment Bases'!$A$6:$A$33,0))</f>
        <v>0</v>
      </c>
      <c r="R57" s="195">
        <f>INDEX('Apportionment Bases'!AM$6:AM$33,MATCH('PC17'!$N57,'Apportionment Bases'!$A$6:$A$33,0))</f>
        <v>0</v>
      </c>
      <c r="S57" s="195">
        <f>INDEX('Apportionment Bases'!AN$6:AN$33,MATCH('PC17'!$N57,'Apportionment Bases'!$A$6:$A$33,0))</f>
        <v>0.5</v>
      </c>
      <c r="T57" s="195">
        <f>INDEX('Apportionment Bases'!AO$6:AO$33,MATCH('PC17'!$N57,'Apportionment Bases'!$A$6:$A$33,0))</f>
        <v>0.5</v>
      </c>
      <c r="V57" s="72">
        <f t="shared" si="69"/>
        <v>0</v>
      </c>
      <c r="W57" s="72">
        <f t="shared" si="70"/>
        <v>0</v>
      </c>
      <c r="X57" s="72">
        <f t="shared" si="97"/>
        <v>0</v>
      </c>
      <c r="Y57" s="72">
        <f t="shared" si="98"/>
        <v>0</v>
      </c>
      <c r="Z57" s="72">
        <f t="shared" si="99"/>
        <v>0</v>
      </c>
      <c r="AA57" s="272" t="str">
        <f t="shared" si="71"/>
        <v>TRUE</v>
      </c>
      <c r="AH57" s="301"/>
      <c r="AO57" s="72">
        <f t="shared" si="101"/>
        <v>0</v>
      </c>
      <c r="AP57" s="72">
        <f t="shared" si="102"/>
        <v>0</v>
      </c>
      <c r="AQ57" s="72">
        <f t="shared" si="103"/>
        <v>0</v>
      </c>
      <c r="AR57" s="72">
        <f t="shared" si="104"/>
        <v>0</v>
      </c>
      <c r="AS57" s="72">
        <f t="shared" si="105"/>
        <v>0</v>
      </c>
      <c r="AT57" s="301"/>
      <c r="AU57" s="72">
        <f t="shared" si="106"/>
        <v>0</v>
      </c>
      <c r="AV57" s="72">
        <f t="shared" si="107"/>
        <v>0</v>
      </c>
      <c r="AW57" s="72">
        <f t="shared" si="108"/>
        <v>0</v>
      </c>
      <c r="AX57" s="72">
        <f t="shared" si="109"/>
        <v>0</v>
      </c>
      <c r="AY57" s="72">
        <f t="shared" si="110"/>
        <v>0</v>
      </c>
      <c r="AZ57" s="301"/>
      <c r="BG57" s="72">
        <f t="shared" si="111"/>
        <v>0</v>
      </c>
      <c r="BH57" s="72">
        <f t="shared" si="112"/>
        <v>0</v>
      </c>
      <c r="BI57" s="72">
        <f t="shared" si="113"/>
        <v>0</v>
      </c>
      <c r="BJ57" s="72">
        <f t="shared" si="114"/>
        <v>0</v>
      </c>
      <c r="BK57" s="72">
        <f t="shared" si="115"/>
        <v>0</v>
      </c>
      <c r="BL57" s="301"/>
      <c r="CE57" s="72">
        <f t="shared" si="116"/>
        <v>0</v>
      </c>
      <c r="CF57" s="72">
        <f t="shared" si="117"/>
        <v>0</v>
      </c>
      <c r="CG57" s="72">
        <f t="shared" si="118"/>
        <v>0</v>
      </c>
      <c r="CH57" s="72">
        <f t="shared" si="119"/>
        <v>0</v>
      </c>
      <c r="CI57" s="72">
        <f t="shared" si="120"/>
        <v>0</v>
      </c>
      <c r="CJ57" s="301"/>
      <c r="CK57" s="72">
        <f t="shared" si="121"/>
        <v>0</v>
      </c>
      <c r="CL57" s="72">
        <f t="shared" si="122"/>
        <v>0</v>
      </c>
      <c r="CM57" s="72">
        <f t="shared" si="123"/>
        <v>0</v>
      </c>
      <c r="CN57" s="72">
        <f t="shared" si="124"/>
        <v>0</v>
      </c>
      <c r="CO57" s="72">
        <f t="shared" si="125"/>
        <v>0</v>
      </c>
      <c r="CP57" s="301"/>
    </row>
    <row r="58" spans="1:94" x14ac:dyDescent="0.25">
      <c r="A58" s="3" t="s">
        <v>246</v>
      </c>
      <c r="B58" s="3" t="s">
        <v>111</v>
      </c>
      <c r="C58" s="3" t="s">
        <v>47</v>
      </c>
      <c r="D58" s="3" t="s">
        <v>48</v>
      </c>
      <c r="E58" s="3" t="s">
        <v>48</v>
      </c>
      <c r="F58" s="3" t="s">
        <v>427</v>
      </c>
      <c r="G58" t="s">
        <v>112</v>
      </c>
      <c r="H58" s="67">
        <f t="shared" si="100"/>
        <v>3458.25</v>
      </c>
      <c r="I58" s="67">
        <f t="shared" si="100"/>
        <v>3458.25</v>
      </c>
      <c r="J58" s="67">
        <f t="shared" si="100"/>
        <v>3458.25</v>
      </c>
      <c r="K58" s="67">
        <f t="shared" si="100"/>
        <v>3458.25</v>
      </c>
      <c r="L58" s="705">
        <v>13833</v>
      </c>
      <c r="N58" s="209" t="s">
        <v>705</v>
      </c>
      <c r="P58" s="195">
        <f>INDEX('Apportionment Bases'!AK$6:AK$33,MATCH('PC17'!$N58,'Apportionment Bases'!$A$6:$A$33,0))</f>
        <v>0</v>
      </c>
      <c r="Q58" s="195">
        <f>INDEX('Apportionment Bases'!AL$6:AL$33,MATCH('PC17'!$N58,'Apportionment Bases'!$A$6:$A$33,0))</f>
        <v>0</v>
      </c>
      <c r="R58" s="195">
        <f>INDEX('Apportionment Bases'!AM$6:AM$33,MATCH('PC17'!$N58,'Apportionment Bases'!$A$6:$A$33,0))</f>
        <v>0</v>
      </c>
      <c r="S58" s="195">
        <f>INDEX('Apportionment Bases'!AN$6:AN$33,MATCH('PC17'!$N58,'Apportionment Bases'!$A$6:$A$33,0))</f>
        <v>0.5</v>
      </c>
      <c r="T58" s="195">
        <f>INDEX('Apportionment Bases'!AO$6:AO$33,MATCH('PC17'!$N58,'Apportionment Bases'!$A$6:$A$33,0))</f>
        <v>0.5</v>
      </c>
      <c r="V58" s="72">
        <f t="shared" si="69"/>
        <v>0</v>
      </c>
      <c r="W58" s="72">
        <f t="shared" si="70"/>
        <v>0</v>
      </c>
      <c r="X58" s="72">
        <f t="shared" si="97"/>
        <v>0</v>
      </c>
      <c r="Y58" s="72">
        <f t="shared" si="98"/>
        <v>6916.5</v>
      </c>
      <c r="Z58" s="72">
        <f t="shared" si="99"/>
        <v>6916.5</v>
      </c>
      <c r="AA58" s="272" t="str">
        <f t="shared" si="71"/>
        <v>TRUE</v>
      </c>
      <c r="AH58" s="301"/>
      <c r="AO58" s="72">
        <f t="shared" si="101"/>
        <v>0</v>
      </c>
      <c r="AP58" s="72">
        <f t="shared" si="102"/>
        <v>0</v>
      </c>
      <c r="AQ58" s="72">
        <f t="shared" si="103"/>
        <v>0</v>
      </c>
      <c r="AR58" s="72">
        <f t="shared" si="104"/>
        <v>4068.2852999999996</v>
      </c>
      <c r="AS58" s="72">
        <f t="shared" si="105"/>
        <v>6916.5</v>
      </c>
      <c r="AT58" s="301"/>
      <c r="AU58" s="72">
        <f t="shared" si="106"/>
        <v>0</v>
      </c>
      <c r="AV58" s="72">
        <f t="shared" si="107"/>
        <v>0</v>
      </c>
      <c r="AW58" s="72">
        <f t="shared" si="108"/>
        <v>0</v>
      </c>
      <c r="AX58" s="72">
        <f t="shared" si="109"/>
        <v>619.71839999999997</v>
      </c>
      <c r="AY58" s="72">
        <f t="shared" si="110"/>
        <v>0</v>
      </c>
      <c r="AZ58" s="301"/>
      <c r="BG58" s="72">
        <f t="shared" si="111"/>
        <v>0</v>
      </c>
      <c r="BH58" s="72">
        <f t="shared" si="112"/>
        <v>0</v>
      </c>
      <c r="BI58" s="72">
        <f t="shared" si="113"/>
        <v>0</v>
      </c>
      <c r="BJ58" s="72">
        <f t="shared" si="114"/>
        <v>1411.6576500000001</v>
      </c>
      <c r="BK58" s="72">
        <f t="shared" si="115"/>
        <v>0</v>
      </c>
      <c r="BL58" s="301"/>
      <c r="CE58" s="72">
        <f t="shared" si="116"/>
        <v>0</v>
      </c>
      <c r="CF58" s="72">
        <f t="shared" si="117"/>
        <v>0</v>
      </c>
      <c r="CG58" s="72">
        <f t="shared" si="118"/>
        <v>0</v>
      </c>
      <c r="CH58" s="72">
        <f t="shared" si="119"/>
        <v>40.80735</v>
      </c>
      <c r="CI58" s="72">
        <f t="shared" si="120"/>
        <v>0</v>
      </c>
      <c r="CJ58" s="301"/>
      <c r="CK58" s="72">
        <f t="shared" si="121"/>
        <v>0</v>
      </c>
      <c r="CL58" s="72">
        <f t="shared" si="122"/>
        <v>0</v>
      </c>
      <c r="CM58" s="72">
        <f t="shared" si="123"/>
        <v>0</v>
      </c>
      <c r="CN58" s="72">
        <f t="shared" si="124"/>
        <v>776.03129999999999</v>
      </c>
      <c r="CO58" s="72">
        <f t="shared" si="125"/>
        <v>0</v>
      </c>
      <c r="CP58" s="301"/>
    </row>
    <row r="59" spans="1:94" x14ac:dyDescent="0.25">
      <c r="A59" s="3" t="s">
        <v>246</v>
      </c>
      <c r="B59" s="3" t="s">
        <v>111</v>
      </c>
      <c r="C59" s="3" t="s">
        <v>45</v>
      </c>
      <c r="D59" s="3" t="s">
        <v>48</v>
      </c>
      <c r="E59" s="3" t="s">
        <v>48</v>
      </c>
      <c r="F59" s="3" t="s">
        <v>428</v>
      </c>
      <c r="G59" t="s">
        <v>112</v>
      </c>
      <c r="H59" s="67">
        <f t="shared" si="100"/>
        <v>831.25</v>
      </c>
      <c r="I59" s="67">
        <f t="shared" si="100"/>
        <v>831.25</v>
      </c>
      <c r="J59" s="67">
        <f t="shared" si="100"/>
        <v>831.25</v>
      </c>
      <c r="K59" s="67">
        <f t="shared" si="100"/>
        <v>831.25</v>
      </c>
      <c r="L59" s="705">
        <v>3325</v>
      </c>
      <c r="N59" s="209" t="s">
        <v>705</v>
      </c>
      <c r="P59" s="195">
        <f>INDEX('Apportionment Bases'!AK$6:AK$33,MATCH('PC17'!$N59,'Apportionment Bases'!$A$6:$A$33,0))</f>
        <v>0</v>
      </c>
      <c r="Q59" s="195">
        <f>INDEX('Apportionment Bases'!AL$6:AL$33,MATCH('PC17'!$N59,'Apportionment Bases'!$A$6:$A$33,0))</f>
        <v>0</v>
      </c>
      <c r="R59" s="195">
        <f>INDEX('Apportionment Bases'!AM$6:AM$33,MATCH('PC17'!$N59,'Apportionment Bases'!$A$6:$A$33,0))</f>
        <v>0</v>
      </c>
      <c r="S59" s="195">
        <f>INDEX('Apportionment Bases'!AN$6:AN$33,MATCH('PC17'!$N59,'Apportionment Bases'!$A$6:$A$33,0))</f>
        <v>0.5</v>
      </c>
      <c r="T59" s="195">
        <f>INDEX('Apportionment Bases'!AO$6:AO$33,MATCH('PC17'!$N59,'Apportionment Bases'!$A$6:$A$33,0))</f>
        <v>0.5</v>
      </c>
      <c r="V59" s="72">
        <f t="shared" si="69"/>
        <v>0</v>
      </c>
      <c r="W59" s="72">
        <f t="shared" si="70"/>
        <v>0</v>
      </c>
      <c r="X59" s="72">
        <f t="shared" si="97"/>
        <v>0</v>
      </c>
      <c r="Y59" s="72">
        <f t="shared" si="98"/>
        <v>1662.5</v>
      </c>
      <c r="Z59" s="72">
        <f t="shared" si="99"/>
        <v>1662.5</v>
      </c>
      <c r="AA59" s="272" t="str">
        <f t="shared" si="71"/>
        <v>TRUE</v>
      </c>
      <c r="AH59" s="301"/>
      <c r="AO59" s="72">
        <f t="shared" si="101"/>
        <v>0</v>
      </c>
      <c r="AP59" s="72">
        <f t="shared" si="102"/>
        <v>0</v>
      </c>
      <c r="AQ59" s="72">
        <f t="shared" si="103"/>
        <v>0</v>
      </c>
      <c r="AR59" s="72">
        <f t="shared" si="104"/>
        <v>977.88249999999994</v>
      </c>
      <c r="AS59" s="72">
        <f t="shared" si="105"/>
        <v>1662.5</v>
      </c>
      <c r="AT59" s="301"/>
      <c r="AU59" s="72">
        <f t="shared" si="106"/>
        <v>0</v>
      </c>
      <c r="AV59" s="72">
        <f t="shared" si="107"/>
        <v>0</v>
      </c>
      <c r="AW59" s="72">
        <f t="shared" si="108"/>
        <v>0</v>
      </c>
      <c r="AX59" s="72">
        <f t="shared" si="109"/>
        <v>148.96</v>
      </c>
      <c r="AY59" s="72">
        <f t="shared" si="110"/>
        <v>0</v>
      </c>
      <c r="AZ59" s="301"/>
      <c r="BG59" s="72">
        <f t="shared" si="111"/>
        <v>0</v>
      </c>
      <c r="BH59" s="72">
        <f t="shared" si="112"/>
        <v>0</v>
      </c>
      <c r="BI59" s="72">
        <f t="shared" si="113"/>
        <v>0</v>
      </c>
      <c r="BJ59" s="72">
        <f t="shared" si="114"/>
        <v>339.31625000000003</v>
      </c>
      <c r="BK59" s="72">
        <f t="shared" si="115"/>
        <v>0</v>
      </c>
      <c r="BL59" s="301"/>
      <c r="CE59" s="72">
        <f t="shared" si="116"/>
        <v>0</v>
      </c>
      <c r="CF59" s="72">
        <f t="shared" si="117"/>
        <v>0</v>
      </c>
      <c r="CG59" s="72">
        <f t="shared" si="118"/>
        <v>0</v>
      </c>
      <c r="CH59" s="72">
        <f t="shared" si="119"/>
        <v>9.8087499999999999</v>
      </c>
      <c r="CI59" s="72">
        <f t="shared" si="120"/>
        <v>0</v>
      </c>
      <c r="CJ59" s="301"/>
      <c r="CK59" s="72">
        <f t="shared" si="121"/>
        <v>0</v>
      </c>
      <c r="CL59" s="72">
        <f t="shared" si="122"/>
        <v>0</v>
      </c>
      <c r="CM59" s="72">
        <f t="shared" si="123"/>
        <v>0</v>
      </c>
      <c r="CN59" s="72">
        <f t="shared" si="124"/>
        <v>186.5325</v>
      </c>
      <c r="CO59" s="72">
        <f t="shared" si="125"/>
        <v>0</v>
      </c>
      <c r="CP59" s="301"/>
    </row>
    <row r="60" spans="1:94" x14ac:dyDescent="0.25">
      <c r="A60" s="3" t="s">
        <v>246</v>
      </c>
      <c r="B60" s="3" t="s">
        <v>113</v>
      </c>
      <c r="C60" s="3" t="s">
        <v>47</v>
      </c>
      <c r="D60" s="3" t="s">
        <v>48</v>
      </c>
      <c r="E60" s="3" t="s">
        <v>48</v>
      </c>
      <c r="F60" s="3" t="s">
        <v>429</v>
      </c>
      <c r="G60" t="s">
        <v>114</v>
      </c>
      <c r="H60" s="67">
        <f t="shared" si="100"/>
        <v>3975</v>
      </c>
      <c r="I60" s="67">
        <f t="shared" si="100"/>
        <v>3975</v>
      </c>
      <c r="J60" s="67">
        <f t="shared" si="100"/>
        <v>3975</v>
      </c>
      <c r="K60" s="67">
        <f t="shared" si="100"/>
        <v>3975</v>
      </c>
      <c r="L60" s="705">
        <v>15900</v>
      </c>
      <c r="N60" s="209" t="s">
        <v>705</v>
      </c>
      <c r="P60" s="195">
        <f>INDEX('Apportionment Bases'!AK$6:AK$33,MATCH('PC17'!$N60,'Apportionment Bases'!$A$6:$A$33,0))</f>
        <v>0</v>
      </c>
      <c r="Q60" s="195">
        <f>INDEX('Apportionment Bases'!AL$6:AL$33,MATCH('PC17'!$N60,'Apportionment Bases'!$A$6:$A$33,0))</f>
        <v>0</v>
      </c>
      <c r="R60" s="195">
        <f>INDEX('Apportionment Bases'!AM$6:AM$33,MATCH('PC17'!$N60,'Apportionment Bases'!$A$6:$A$33,0))</f>
        <v>0</v>
      </c>
      <c r="S60" s="195">
        <f>INDEX('Apportionment Bases'!AN$6:AN$33,MATCH('PC17'!$N60,'Apportionment Bases'!$A$6:$A$33,0))</f>
        <v>0.5</v>
      </c>
      <c r="T60" s="195">
        <f>INDEX('Apportionment Bases'!AO$6:AO$33,MATCH('PC17'!$N60,'Apportionment Bases'!$A$6:$A$33,0))</f>
        <v>0.5</v>
      </c>
      <c r="V60" s="72">
        <f t="shared" si="69"/>
        <v>0</v>
      </c>
      <c r="W60" s="72">
        <f t="shared" si="70"/>
        <v>0</v>
      </c>
      <c r="X60" s="72">
        <f t="shared" si="97"/>
        <v>0</v>
      </c>
      <c r="Y60" s="72">
        <f t="shared" si="98"/>
        <v>7950</v>
      </c>
      <c r="Z60" s="72">
        <f t="shared" si="99"/>
        <v>7950</v>
      </c>
      <c r="AA60" s="272" t="str">
        <f t="shared" si="71"/>
        <v>TRUE</v>
      </c>
      <c r="AH60" s="301"/>
      <c r="AO60" s="72">
        <f t="shared" si="101"/>
        <v>0</v>
      </c>
      <c r="AP60" s="72">
        <f t="shared" si="102"/>
        <v>0</v>
      </c>
      <c r="AQ60" s="72">
        <f t="shared" si="103"/>
        <v>0</v>
      </c>
      <c r="AR60" s="72">
        <f t="shared" si="104"/>
        <v>4676.1899999999996</v>
      </c>
      <c r="AS60" s="72">
        <f t="shared" si="105"/>
        <v>7950</v>
      </c>
      <c r="AT60" s="301"/>
      <c r="AU60" s="72">
        <f t="shared" si="106"/>
        <v>0</v>
      </c>
      <c r="AV60" s="72">
        <f t="shared" si="107"/>
        <v>0</v>
      </c>
      <c r="AW60" s="72">
        <f t="shared" si="108"/>
        <v>0</v>
      </c>
      <c r="AX60" s="72">
        <f t="shared" si="109"/>
        <v>712.31999999999994</v>
      </c>
      <c r="AY60" s="72">
        <f t="shared" si="110"/>
        <v>0</v>
      </c>
      <c r="AZ60" s="301"/>
      <c r="BG60" s="72">
        <f t="shared" si="111"/>
        <v>0</v>
      </c>
      <c r="BH60" s="72">
        <f t="shared" si="112"/>
        <v>0</v>
      </c>
      <c r="BI60" s="72">
        <f t="shared" si="113"/>
        <v>0</v>
      </c>
      <c r="BJ60" s="72">
        <f t="shared" si="114"/>
        <v>1622.595</v>
      </c>
      <c r="BK60" s="72">
        <f t="shared" si="115"/>
        <v>0</v>
      </c>
      <c r="BL60" s="301"/>
      <c r="CE60" s="72">
        <f t="shared" si="116"/>
        <v>0</v>
      </c>
      <c r="CF60" s="72">
        <f t="shared" si="117"/>
        <v>0</v>
      </c>
      <c r="CG60" s="72">
        <f t="shared" si="118"/>
        <v>0</v>
      </c>
      <c r="CH60" s="72">
        <f t="shared" si="119"/>
        <v>46.905000000000001</v>
      </c>
      <c r="CI60" s="72">
        <f t="shared" si="120"/>
        <v>0</v>
      </c>
      <c r="CJ60" s="301"/>
      <c r="CK60" s="72">
        <f t="shared" si="121"/>
        <v>0</v>
      </c>
      <c r="CL60" s="72">
        <f t="shared" si="122"/>
        <v>0</v>
      </c>
      <c r="CM60" s="72">
        <f t="shared" si="123"/>
        <v>0</v>
      </c>
      <c r="CN60" s="72">
        <f t="shared" si="124"/>
        <v>891.99</v>
      </c>
      <c r="CO60" s="72">
        <f t="shared" si="125"/>
        <v>0</v>
      </c>
      <c r="CP60" s="301"/>
    </row>
    <row r="61" spans="1:94" x14ac:dyDescent="0.25">
      <c r="A61" s="3" t="s">
        <v>246</v>
      </c>
      <c r="B61" s="3" t="s">
        <v>113</v>
      </c>
      <c r="C61" s="3" t="s">
        <v>45</v>
      </c>
      <c r="D61" s="3" t="s">
        <v>48</v>
      </c>
      <c r="E61" s="3" t="s">
        <v>48</v>
      </c>
      <c r="F61" s="3" t="s">
        <v>430</v>
      </c>
      <c r="G61" t="s">
        <v>114</v>
      </c>
      <c r="H61" s="67">
        <f t="shared" si="100"/>
        <v>279.5</v>
      </c>
      <c r="I61" s="67">
        <f t="shared" si="100"/>
        <v>279.5</v>
      </c>
      <c r="J61" s="67">
        <f t="shared" si="100"/>
        <v>279.5</v>
      </c>
      <c r="K61" s="67">
        <f t="shared" si="100"/>
        <v>279.5</v>
      </c>
      <c r="L61" s="705">
        <v>1118</v>
      </c>
      <c r="N61" s="209" t="s">
        <v>705</v>
      </c>
      <c r="P61" s="195">
        <f>INDEX('Apportionment Bases'!AK$6:AK$33,MATCH('PC17'!$N61,'Apportionment Bases'!$A$6:$A$33,0))</f>
        <v>0</v>
      </c>
      <c r="Q61" s="195">
        <f>INDEX('Apportionment Bases'!AL$6:AL$33,MATCH('PC17'!$N61,'Apportionment Bases'!$A$6:$A$33,0))</f>
        <v>0</v>
      </c>
      <c r="R61" s="195">
        <f>INDEX('Apportionment Bases'!AM$6:AM$33,MATCH('PC17'!$N61,'Apportionment Bases'!$A$6:$A$33,0))</f>
        <v>0</v>
      </c>
      <c r="S61" s="195">
        <f>INDEX('Apportionment Bases'!AN$6:AN$33,MATCH('PC17'!$N61,'Apportionment Bases'!$A$6:$A$33,0))</f>
        <v>0.5</v>
      </c>
      <c r="T61" s="195">
        <f>INDEX('Apportionment Bases'!AO$6:AO$33,MATCH('PC17'!$N61,'Apportionment Bases'!$A$6:$A$33,0))</f>
        <v>0.5</v>
      </c>
      <c r="V61" s="72">
        <f t="shared" si="69"/>
        <v>0</v>
      </c>
      <c r="W61" s="72">
        <f t="shared" si="70"/>
        <v>0</v>
      </c>
      <c r="X61" s="72">
        <f t="shared" si="97"/>
        <v>0</v>
      </c>
      <c r="Y61" s="72">
        <f t="shared" si="98"/>
        <v>559</v>
      </c>
      <c r="Z61" s="72">
        <f t="shared" si="99"/>
        <v>559</v>
      </c>
      <c r="AA61" s="272" t="str">
        <f t="shared" si="71"/>
        <v>TRUE</v>
      </c>
      <c r="AH61" s="301"/>
      <c r="AO61" s="72">
        <f t="shared" si="101"/>
        <v>0</v>
      </c>
      <c r="AP61" s="72">
        <f t="shared" si="102"/>
        <v>0</v>
      </c>
      <c r="AQ61" s="72">
        <f t="shared" si="103"/>
        <v>0</v>
      </c>
      <c r="AR61" s="72">
        <f t="shared" si="104"/>
        <v>328.80379999999997</v>
      </c>
      <c r="AS61" s="72">
        <f t="shared" si="105"/>
        <v>559</v>
      </c>
      <c r="AT61" s="301"/>
      <c r="AU61" s="72">
        <f t="shared" si="106"/>
        <v>0</v>
      </c>
      <c r="AV61" s="72">
        <f t="shared" si="107"/>
        <v>0</v>
      </c>
      <c r="AW61" s="72">
        <f t="shared" si="108"/>
        <v>0</v>
      </c>
      <c r="AX61" s="72">
        <f t="shared" si="109"/>
        <v>50.086399999999998</v>
      </c>
      <c r="AY61" s="72">
        <f t="shared" si="110"/>
        <v>0</v>
      </c>
      <c r="AZ61" s="301"/>
      <c r="BG61" s="72">
        <f t="shared" si="111"/>
        <v>0</v>
      </c>
      <c r="BH61" s="72">
        <f t="shared" si="112"/>
        <v>0</v>
      </c>
      <c r="BI61" s="72">
        <f t="shared" si="113"/>
        <v>0</v>
      </c>
      <c r="BJ61" s="72">
        <f t="shared" si="114"/>
        <v>114.0919</v>
      </c>
      <c r="BK61" s="72">
        <f t="shared" si="115"/>
        <v>0</v>
      </c>
      <c r="BL61" s="301"/>
      <c r="CE61" s="72">
        <f t="shared" si="116"/>
        <v>0</v>
      </c>
      <c r="CF61" s="72">
        <f t="shared" si="117"/>
        <v>0</v>
      </c>
      <c r="CG61" s="72">
        <f t="shared" si="118"/>
        <v>0</v>
      </c>
      <c r="CH61" s="72">
        <f t="shared" si="119"/>
        <v>3.2980999999999998</v>
      </c>
      <c r="CI61" s="72">
        <f t="shared" si="120"/>
        <v>0</v>
      </c>
      <c r="CJ61" s="301"/>
      <c r="CK61" s="72">
        <f t="shared" si="121"/>
        <v>0</v>
      </c>
      <c r="CL61" s="72">
        <f t="shared" si="122"/>
        <v>0</v>
      </c>
      <c r="CM61" s="72">
        <f t="shared" si="123"/>
        <v>0</v>
      </c>
      <c r="CN61" s="72">
        <f t="shared" si="124"/>
        <v>62.719799999999999</v>
      </c>
      <c r="CO61" s="72">
        <f t="shared" si="125"/>
        <v>0</v>
      </c>
      <c r="CP61" s="301"/>
    </row>
    <row r="62" spans="1:94" x14ac:dyDescent="0.25">
      <c r="A62" s="3" t="s">
        <v>246</v>
      </c>
      <c r="B62" s="3" t="s">
        <v>115</v>
      </c>
      <c r="C62" s="3" t="s">
        <v>47</v>
      </c>
      <c r="D62" s="3" t="s">
        <v>48</v>
      </c>
      <c r="E62" s="3" t="s">
        <v>48</v>
      </c>
      <c r="F62" s="3" t="s">
        <v>431</v>
      </c>
      <c r="G62" t="s">
        <v>116</v>
      </c>
      <c r="H62" s="67">
        <f t="shared" si="100"/>
        <v>0</v>
      </c>
      <c r="I62" s="67">
        <f t="shared" si="100"/>
        <v>0</v>
      </c>
      <c r="J62" s="67">
        <f t="shared" si="100"/>
        <v>0</v>
      </c>
      <c r="K62" s="67">
        <f t="shared" si="100"/>
        <v>0</v>
      </c>
      <c r="L62" s="705">
        <v>0</v>
      </c>
      <c r="N62" s="209" t="s">
        <v>17</v>
      </c>
      <c r="P62" s="195">
        <f>INDEX('Apportionment Bases'!AK$6:AK$33,MATCH('PC17'!$N62,'Apportionment Bases'!$A$6:$A$33,0))</f>
        <v>0.25</v>
      </c>
      <c r="Q62" s="195">
        <f>INDEX('Apportionment Bases'!AL$6:AL$33,MATCH('PC17'!$N62,'Apportionment Bases'!$A$6:$A$33,0))</f>
        <v>0.5</v>
      </c>
      <c r="R62" s="195">
        <f>INDEX('Apportionment Bases'!AM$6:AM$33,MATCH('PC17'!$N62,'Apportionment Bases'!$A$6:$A$33,0))</f>
        <v>0.25</v>
      </c>
      <c r="S62" s="195">
        <f>INDEX('Apportionment Bases'!AN$6:AN$33,MATCH('PC17'!$N62,'Apportionment Bases'!$A$6:$A$33,0))</f>
        <v>0</v>
      </c>
      <c r="T62" s="195">
        <f>INDEX('Apportionment Bases'!AO$6:AO$33,MATCH('PC17'!$N62,'Apportionment Bases'!$A$6:$A$33,0))</f>
        <v>0</v>
      </c>
      <c r="V62" s="72">
        <f t="shared" si="69"/>
        <v>0</v>
      </c>
      <c r="W62" s="72">
        <f t="shared" si="70"/>
        <v>0</v>
      </c>
      <c r="X62" s="72">
        <f t="shared" si="97"/>
        <v>0</v>
      </c>
      <c r="Y62" s="72">
        <f t="shared" si="98"/>
        <v>0</v>
      </c>
      <c r="Z62" s="72">
        <f t="shared" si="99"/>
        <v>0</v>
      </c>
      <c r="AA62" s="272" t="str">
        <f t="shared" si="71"/>
        <v>TRUE</v>
      </c>
      <c r="AH62" s="301"/>
      <c r="AO62" s="72">
        <f t="shared" si="101"/>
        <v>0</v>
      </c>
      <c r="AP62" s="72">
        <f t="shared" si="102"/>
        <v>0</v>
      </c>
      <c r="AQ62" s="72">
        <f t="shared" si="103"/>
        <v>0</v>
      </c>
      <c r="AR62" s="72">
        <f t="shared" si="104"/>
        <v>0</v>
      </c>
      <c r="AS62" s="72">
        <f t="shared" si="105"/>
        <v>0</v>
      </c>
      <c r="AT62" s="301"/>
      <c r="AU62" s="72">
        <f t="shared" si="106"/>
        <v>0</v>
      </c>
      <c r="AV62" s="72">
        <f t="shared" si="107"/>
        <v>0</v>
      </c>
      <c r="AW62" s="72">
        <f t="shared" si="108"/>
        <v>0</v>
      </c>
      <c r="AX62" s="72">
        <f t="shared" si="109"/>
        <v>0</v>
      </c>
      <c r="AY62" s="72">
        <f t="shared" si="110"/>
        <v>0</v>
      </c>
      <c r="AZ62" s="301"/>
      <c r="BG62" s="72">
        <f t="shared" si="111"/>
        <v>0</v>
      </c>
      <c r="BH62" s="72">
        <f t="shared" si="112"/>
        <v>0</v>
      </c>
      <c r="BI62" s="72">
        <f t="shared" si="113"/>
        <v>0</v>
      </c>
      <c r="BJ62" s="72">
        <f t="shared" si="114"/>
        <v>0</v>
      </c>
      <c r="BK62" s="72">
        <f t="shared" si="115"/>
        <v>0</v>
      </c>
      <c r="BL62" s="301"/>
      <c r="CE62" s="72">
        <f t="shared" si="116"/>
        <v>0</v>
      </c>
      <c r="CF62" s="72">
        <f t="shared" si="117"/>
        <v>0</v>
      </c>
      <c r="CG62" s="72">
        <f t="shared" si="118"/>
        <v>0</v>
      </c>
      <c r="CH62" s="72">
        <f t="shared" si="119"/>
        <v>0</v>
      </c>
      <c r="CI62" s="72">
        <f t="shared" si="120"/>
        <v>0</v>
      </c>
      <c r="CJ62" s="301"/>
      <c r="CK62" s="72">
        <f t="shared" si="121"/>
        <v>0</v>
      </c>
      <c r="CL62" s="72">
        <f t="shared" si="122"/>
        <v>0</v>
      </c>
      <c r="CM62" s="72">
        <f t="shared" si="123"/>
        <v>0</v>
      </c>
      <c r="CN62" s="72">
        <f t="shared" si="124"/>
        <v>0</v>
      </c>
      <c r="CO62" s="72">
        <f t="shared" si="125"/>
        <v>0</v>
      </c>
      <c r="CP62" s="301"/>
    </row>
    <row r="63" spans="1:94" x14ac:dyDescent="0.25">
      <c r="A63" s="3" t="s">
        <v>246</v>
      </c>
      <c r="B63" s="3" t="s">
        <v>115</v>
      </c>
      <c r="C63" s="3" t="s">
        <v>45</v>
      </c>
      <c r="D63" s="3" t="s">
        <v>48</v>
      </c>
      <c r="E63" s="3" t="s">
        <v>48</v>
      </c>
      <c r="F63" s="3" t="s">
        <v>432</v>
      </c>
      <c r="G63" t="s">
        <v>116</v>
      </c>
      <c r="H63" s="67">
        <f t="shared" si="100"/>
        <v>4755</v>
      </c>
      <c r="I63" s="67">
        <f t="shared" si="100"/>
        <v>4755</v>
      </c>
      <c r="J63" s="67">
        <f t="shared" si="100"/>
        <v>4755</v>
      </c>
      <c r="K63" s="67">
        <f t="shared" si="100"/>
        <v>4755</v>
      </c>
      <c r="L63" s="705">
        <v>19020</v>
      </c>
      <c r="N63" s="209" t="s">
        <v>17</v>
      </c>
      <c r="P63" s="195">
        <f>INDEX('Apportionment Bases'!AK$6:AK$33,MATCH('PC17'!$N63,'Apportionment Bases'!$A$6:$A$33,0))</f>
        <v>0.25</v>
      </c>
      <c r="Q63" s="195">
        <f>INDEX('Apportionment Bases'!AL$6:AL$33,MATCH('PC17'!$N63,'Apportionment Bases'!$A$6:$A$33,0))</f>
        <v>0.5</v>
      </c>
      <c r="R63" s="195">
        <f>INDEX('Apportionment Bases'!AM$6:AM$33,MATCH('PC17'!$N63,'Apportionment Bases'!$A$6:$A$33,0))</f>
        <v>0.25</v>
      </c>
      <c r="S63" s="195">
        <f>INDEX('Apportionment Bases'!AN$6:AN$33,MATCH('PC17'!$N63,'Apportionment Bases'!$A$6:$A$33,0))</f>
        <v>0</v>
      </c>
      <c r="T63" s="195">
        <f>INDEX('Apportionment Bases'!AO$6:AO$33,MATCH('PC17'!$N63,'Apportionment Bases'!$A$6:$A$33,0))</f>
        <v>0</v>
      </c>
      <c r="V63" s="72">
        <f t="shared" si="69"/>
        <v>4755</v>
      </c>
      <c r="W63" s="72">
        <f t="shared" si="70"/>
        <v>9510</v>
      </c>
      <c r="X63" s="72">
        <f t="shared" si="97"/>
        <v>4755</v>
      </c>
      <c r="Y63" s="72">
        <f t="shared" si="98"/>
        <v>0</v>
      </c>
      <c r="Z63" s="72">
        <f t="shared" si="99"/>
        <v>0</v>
      </c>
      <c r="AA63" s="272" t="str">
        <f t="shared" si="71"/>
        <v>TRUE</v>
      </c>
      <c r="AH63" s="301"/>
      <c r="AO63" s="72">
        <f t="shared" si="101"/>
        <v>3023.2290000000003</v>
      </c>
      <c r="AP63" s="72">
        <f t="shared" si="102"/>
        <v>9466.5102893637159</v>
      </c>
      <c r="AQ63" s="72">
        <f t="shared" si="103"/>
        <v>4755</v>
      </c>
      <c r="AR63" s="72">
        <f t="shared" si="104"/>
        <v>0</v>
      </c>
      <c r="AS63" s="72">
        <f t="shared" si="105"/>
        <v>0</v>
      </c>
      <c r="AT63" s="301"/>
      <c r="AU63" s="72">
        <f t="shared" si="106"/>
        <v>405.60149999999999</v>
      </c>
      <c r="AV63" s="72">
        <f t="shared" si="107"/>
        <v>9.8726641961681008</v>
      </c>
      <c r="AW63" s="72">
        <f t="shared" si="108"/>
        <v>0</v>
      </c>
      <c r="AX63" s="72">
        <f t="shared" si="109"/>
        <v>0</v>
      </c>
      <c r="AY63" s="72">
        <f t="shared" si="110"/>
        <v>0</v>
      </c>
      <c r="AZ63" s="301"/>
      <c r="BG63" s="72">
        <f t="shared" si="111"/>
        <v>703.74</v>
      </c>
      <c r="BH63" s="72">
        <f t="shared" si="112"/>
        <v>17.620831033667113</v>
      </c>
      <c r="BI63" s="72">
        <f t="shared" si="113"/>
        <v>0</v>
      </c>
      <c r="BJ63" s="72">
        <f t="shared" si="114"/>
        <v>0</v>
      </c>
      <c r="BK63" s="72">
        <f t="shared" si="115"/>
        <v>0</v>
      </c>
      <c r="BL63" s="301"/>
      <c r="CE63" s="72">
        <f t="shared" si="116"/>
        <v>17.593500000000002</v>
      </c>
      <c r="CF63" s="72">
        <f t="shared" si="117"/>
        <v>0.49988173145154935</v>
      </c>
      <c r="CG63" s="72">
        <f t="shared" si="118"/>
        <v>0</v>
      </c>
      <c r="CH63" s="72">
        <f t="shared" si="119"/>
        <v>0</v>
      </c>
      <c r="CI63" s="72">
        <f t="shared" si="120"/>
        <v>0</v>
      </c>
      <c r="CJ63" s="301"/>
      <c r="CK63" s="72">
        <f t="shared" si="121"/>
        <v>604.83600000000001</v>
      </c>
      <c r="CL63" s="72">
        <f t="shared" si="122"/>
        <v>15.496333674998029</v>
      </c>
      <c r="CM63" s="72">
        <f t="shared" si="123"/>
        <v>0</v>
      </c>
      <c r="CN63" s="72">
        <f t="shared" si="124"/>
        <v>0</v>
      </c>
      <c r="CO63" s="72">
        <f t="shared" si="125"/>
        <v>0</v>
      </c>
      <c r="CP63" s="301"/>
    </row>
    <row r="64" spans="1:94" x14ac:dyDescent="0.25">
      <c r="A64" s="3" t="s">
        <v>246</v>
      </c>
      <c r="B64" s="3" t="s">
        <v>117</v>
      </c>
      <c r="C64" s="3" t="s">
        <v>47</v>
      </c>
      <c r="D64" s="3" t="s">
        <v>48</v>
      </c>
      <c r="E64" s="3" t="s">
        <v>48</v>
      </c>
      <c r="F64" s="3" t="s">
        <v>433</v>
      </c>
      <c r="G64" t="s">
        <v>118</v>
      </c>
      <c r="H64" s="67">
        <f t="shared" si="100"/>
        <v>1500</v>
      </c>
      <c r="I64" s="67">
        <f t="shared" si="100"/>
        <v>1500</v>
      </c>
      <c r="J64" s="67">
        <f t="shared" si="100"/>
        <v>1500</v>
      </c>
      <c r="K64" s="67">
        <f t="shared" si="100"/>
        <v>1500</v>
      </c>
      <c r="L64" s="705">
        <v>6000</v>
      </c>
      <c r="N64" s="209" t="s">
        <v>705</v>
      </c>
      <c r="P64" s="195">
        <f>INDEX('Apportionment Bases'!AK$6:AK$33,MATCH('PC17'!$N64,'Apportionment Bases'!$A$6:$A$33,0))</f>
        <v>0</v>
      </c>
      <c r="Q64" s="195">
        <f>INDEX('Apportionment Bases'!AL$6:AL$33,MATCH('PC17'!$N64,'Apportionment Bases'!$A$6:$A$33,0))</f>
        <v>0</v>
      </c>
      <c r="R64" s="195">
        <f>INDEX('Apportionment Bases'!AM$6:AM$33,MATCH('PC17'!$N64,'Apportionment Bases'!$A$6:$A$33,0))</f>
        <v>0</v>
      </c>
      <c r="S64" s="195">
        <f>INDEX('Apportionment Bases'!AN$6:AN$33,MATCH('PC17'!$N64,'Apportionment Bases'!$A$6:$A$33,0))</f>
        <v>0.5</v>
      </c>
      <c r="T64" s="195">
        <f>INDEX('Apportionment Bases'!AO$6:AO$33,MATCH('PC17'!$N64,'Apportionment Bases'!$A$6:$A$33,0))</f>
        <v>0.5</v>
      </c>
      <c r="V64" s="72">
        <f t="shared" si="69"/>
        <v>0</v>
      </c>
      <c r="W64" s="72">
        <f t="shared" si="70"/>
        <v>0</v>
      </c>
      <c r="X64" s="72">
        <f t="shared" si="97"/>
        <v>0</v>
      </c>
      <c r="Y64" s="72">
        <f t="shared" si="98"/>
        <v>3000</v>
      </c>
      <c r="Z64" s="72">
        <f t="shared" si="99"/>
        <v>3000</v>
      </c>
      <c r="AA64" s="272" t="str">
        <f t="shared" si="71"/>
        <v>TRUE</v>
      </c>
      <c r="AH64" s="301"/>
      <c r="AO64" s="72">
        <f t="shared" si="101"/>
        <v>0</v>
      </c>
      <c r="AP64" s="72">
        <f t="shared" si="102"/>
        <v>0</v>
      </c>
      <c r="AQ64" s="72">
        <f t="shared" si="103"/>
        <v>0</v>
      </c>
      <c r="AR64" s="72">
        <f t="shared" si="104"/>
        <v>1764.6</v>
      </c>
      <c r="AS64" s="72">
        <f t="shared" si="105"/>
        <v>3000</v>
      </c>
      <c r="AT64" s="301"/>
      <c r="AU64" s="72">
        <f t="shared" si="106"/>
        <v>0</v>
      </c>
      <c r="AV64" s="72">
        <f t="shared" si="107"/>
        <v>0</v>
      </c>
      <c r="AW64" s="72">
        <f t="shared" si="108"/>
        <v>0</v>
      </c>
      <c r="AX64" s="72">
        <f t="shared" si="109"/>
        <v>268.8</v>
      </c>
      <c r="AY64" s="72">
        <f t="shared" si="110"/>
        <v>0</v>
      </c>
      <c r="AZ64" s="301"/>
      <c r="BG64" s="72">
        <f t="shared" si="111"/>
        <v>0</v>
      </c>
      <c r="BH64" s="72">
        <f t="shared" si="112"/>
        <v>0</v>
      </c>
      <c r="BI64" s="72">
        <f t="shared" si="113"/>
        <v>0</v>
      </c>
      <c r="BJ64" s="72">
        <f t="shared" si="114"/>
        <v>612.29999999999995</v>
      </c>
      <c r="BK64" s="72">
        <f t="shared" si="115"/>
        <v>0</v>
      </c>
      <c r="BL64" s="301"/>
      <c r="CE64" s="72">
        <f t="shared" si="116"/>
        <v>0</v>
      </c>
      <c r="CF64" s="72">
        <f t="shared" si="117"/>
        <v>0</v>
      </c>
      <c r="CG64" s="72">
        <f t="shared" si="118"/>
        <v>0</v>
      </c>
      <c r="CH64" s="72">
        <f t="shared" si="119"/>
        <v>17.7</v>
      </c>
      <c r="CI64" s="72">
        <f t="shared" si="120"/>
        <v>0</v>
      </c>
      <c r="CJ64" s="301"/>
      <c r="CK64" s="72">
        <f t="shared" si="121"/>
        <v>0</v>
      </c>
      <c r="CL64" s="72">
        <f t="shared" si="122"/>
        <v>0</v>
      </c>
      <c r="CM64" s="72">
        <f t="shared" si="123"/>
        <v>0</v>
      </c>
      <c r="CN64" s="72">
        <f t="shared" si="124"/>
        <v>336.59999999999997</v>
      </c>
      <c r="CO64" s="72">
        <f t="shared" si="125"/>
        <v>0</v>
      </c>
      <c r="CP64" s="301"/>
    </row>
    <row r="65" spans="1:94" x14ac:dyDescent="0.25">
      <c r="A65" s="3" t="s">
        <v>246</v>
      </c>
      <c r="B65" s="3" t="s">
        <v>119</v>
      </c>
      <c r="C65" s="3" t="s">
        <v>47</v>
      </c>
      <c r="D65" s="3" t="s">
        <v>48</v>
      </c>
      <c r="E65" s="3" t="s">
        <v>48</v>
      </c>
      <c r="F65" s="3" t="s">
        <v>434</v>
      </c>
      <c r="G65" t="s">
        <v>120</v>
      </c>
      <c r="H65" s="67">
        <f t="shared" si="100"/>
        <v>0</v>
      </c>
      <c r="I65" s="67">
        <f t="shared" si="100"/>
        <v>0</v>
      </c>
      <c r="J65" s="67">
        <f t="shared" si="100"/>
        <v>0</v>
      </c>
      <c r="K65" s="67">
        <f t="shared" si="100"/>
        <v>0</v>
      </c>
      <c r="L65" s="705">
        <v>0</v>
      </c>
      <c r="N65" s="209" t="s">
        <v>705</v>
      </c>
      <c r="P65" s="195">
        <f>INDEX('Apportionment Bases'!AK$6:AK$33,MATCH('PC17'!$N65,'Apportionment Bases'!$A$6:$A$33,0))</f>
        <v>0</v>
      </c>
      <c r="Q65" s="195">
        <f>INDEX('Apportionment Bases'!AL$6:AL$33,MATCH('PC17'!$N65,'Apportionment Bases'!$A$6:$A$33,0))</f>
        <v>0</v>
      </c>
      <c r="R65" s="195">
        <f>INDEX('Apportionment Bases'!AM$6:AM$33,MATCH('PC17'!$N65,'Apportionment Bases'!$A$6:$A$33,0))</f>
        <v>0</v>
      </c>
      <c r="S65" s="195">
        <f>INDEX('Apportionment Bases'!AN$6:AN$33,MATCH('PC17'!$N65,'Apportionment Bases'!$A$6:$A$33,0))</f>
        <v>0.5</v>
      </c>
      <c r="T65" s="195">
        <f>INDEX('Apportionment Bases'!AO$6:AO$33,MATCH('PC17'!$N65,'Apportionment Bases'!$A$6:$A$33,0))</f>
        <v>0.5</v>
      </c>
      <c r="V65" s="72">
        <f t="shared" si="69"/>
        <v>0</v>
      </c>
      <c r="W65" s="72">
        <f t="shared" si="70"/>
        <v>0</v>
      </c>
      <c r="X65" s="72">
        <f t="shared" si="97"/>
        <v>0</v>
      </c>
      <c r="Y65" s="72">
        <f t="shared" si="98"/>
        <v>0</v>
      </c>
      <c r="Z65" s="72">
        <f t="shared" si="99"/>
        <v>0</v>
      </c>
      <c r="AA65" s="272" t="str">
        <f t="shared" si="71"/>
        <v>TRUE</v>
      </c>
      <c r="AH65" s="301"/>
      <c r="AO65" s="72">
        <f t="shared" si="101"/>
        <v>0</v>
      </c>
      <c r="AP65" s="72">
        <f t="shared" si="102"/>
        <v>0</v>
      </c>
      <c r="AQ65" s="72">
        <f t="shared" si="103"/>
        <v>0</v>
      </c>
      <c r="AR65" s="72">
        <f t="shared" si="104"/>
        <v>0</v>
      </c>
      <c r="AS65" s="72">
        <f t="shared" si="105"/>
        <v>0</v>
      </c>
      <c r="AT65" s="301"/>
      <c r="AU65" s="72">
        <f t="shared" si="106"/>
        <v>0</v>
      </c>
      <c r="AV65" s="72">
        <f t="shared" si="107"/>
        <v>0</v>
      </c>
      <c r="AW65" s="72">
        <f t="shared" si="108"/>
        <v>0</v>
      </c>
      <c r="AX65" s="72">
        <f t="shared" si="109"/>
        <v>0</v>
      </c>
      <c r="AY65" s="72">
        <f t="shared" si="110"/>
        <v>0</v>
      </c>
      <c r="AZ65" s="301"/>
      <c r="BG65" s="72">
        <f t="shared" si="111"/>
        <v>0</v>
      </c>
      <c r="BH65" s="72">
        <f t="shared" si="112"/>
        <v>0</v>
      </c>
      <c r="BI65" s="72">
        <f t="shared" si="113"/>
        <v>0</v>
      </c>
      <c r="BJ65" s="72">
        <f t="shared" si="114"/>
        <v>0</v>
      </c>
      <c r="BK65" s="72">
        <f t="shared" si="115"/>
        <v>0</v>
      </c>
      <c r="BL65" s="301"/>
      <c r="CE65" s="72">
        <f t="shared" si="116"/>
        <v>0</v>
      </c>
      <c r="CF65" s="72">
        <f t="shared" si="117"/>
        <v>0</v>
      </c>
      <c r="CG65" s="72">
        <f t="shared" si="118"/>
        <v>0</v>
      </c>
      <c r="CH65" s="72">
        <f t="shared" si="119"/>
        <v>0</v>
      </c>
      <c r="CI65" s="72">
        <f t="shared" si="120"/>
        <v>0</v>
      </c>
      <c r="CJ65" s="301"/>
      <c r="CK65" s="72">
        <f t="shared" si="121"/>
        <v>0</v>
      </c>
      <c r="CL65" s="72">
        <f t="shared" si="122"/>
        <v>0</v>
      </c>
      <c r="CM65" s="72">
        <f t="shared" si="123"/>
        <v>0</v>
      </c>
      <c r="CN65" s="72">
        <f t="shared" si="124"/>
        <v>0</v>
      </c>
      <c r="CO65" s="72">
        <f t="shared" si="125"/>
        <v>0</v>
      </c>
      <c r="CP65" s="301"/>
    </row>
    <row r="66" spans="1:94" x14ac:dyDescent="0.25">
      <c r="A66" s="3" t="s">
        <v>246</v>
      </c>
      <c r="B66" s="3" t="s">
        <v>119</v>
      </c>
      <c r="C66" s="3" t="s">
        <v>45</v>
      </c>
      <c r="D66" s="3" t="s">
        <v>48</v>
      </c>
      <c r="E66" s="3" t="s">
        <v>48</v>
      </c>
      <c r="F66" s="3" t="s">
        <v>435</v>
      </c>
      <c r="G66" t="s">
        <v>120</v>
      </c>
      <c r="H66" s="67">
        <f t="shared" si="100"/>
        <v>8750</v>
      </c>
      <c r="I66" s="67">
        <f t="shared" si="100"/>
        <v>8750</v>
      </c>
      <c r="J66" s="67">
        <f t="shared" si="100"/>
        <v>8750</v>
      </c>
      <c r="K66" s="67">
        <f t="shared" si="100"/>
        <v>8750</v>
      </c>
      <c r="L66" s="705">
        <v>35000</v>
      </c>
      <c r="N66" s="209" t="s">
        <v>705</v>
      </c>
      <c r="P66" s="195">
        <f>INDEX('Apportionment Bases'!AK$6:AK$33,MATCH('PC17'!$N66,'Apportionment Bases'!$A$6:$A$33,0))</f>
        <v>0</v>
      </c>
      <c r="Q66" s="195">
        <f>INDEX('Apportionment Bases'!AL$6:AL$33,MATCH('PC17'!$N66,'Apportionment Bases'!$A$6:$A$33,0))</f>
        <v>0</v>
      </c>
      <c r="R66" s="195">
        <f>INDEX('Apportionment Bases'!AM$6:AM$33,MATCH('PC17'!$N66,'Apportionment Bases'!$A$6:$A$33,0))</f>
        <v>0</v>
      </c>
      <c r="S66" s="195">
        <f>INDEX('Apportionment Bases'!AN$6:AN$33,MATCH('PC17'!$N66,'Apportionment Bases'!$A$6:$A$33,0))</f>
        <v>0.5</v>
      </c>
      <c r="T66" s="195">
        <f>INDEX('Apportionment Bases'!AO$6:AO$33,MATCH('PC17'!$N66,'Apportionment Bases'!$A$6:$A$33,0))</f>
        <v>0.5</v>
      </c>
      <c r="V66" s="72">
        <f t="shared" si="69"/>
        <v>0</v>
      </c>
      <c r="W66" s="72">
        <f t="shared" si="70"/>
        <v>0</v>
      </c>
      <c r="X66" s="72">
        <f t="shared" si="97"/>
        <v>0</v>
      </c>
      <c r="Y66" s="72">
        <f t="shared" si="98"/>
        <v>17500</v>
      </c>
      <c r="Z66" s="72">
        <f t="shared" si="99"/>
        <v>17500</v>
      </c>
      <c r="AA66" s="272" t="str">
        <f t="shared" si="71"/>
        <v>TRUE</v>
      </c>
      <c r="AH66" s="301"/>
      <c r="AO66" s="72">
        <f t="shared" si="101"/>
        <v>0</v>
      </c>
      <c r="AP66" s="72">
        <f t="shared" si="102"/>
        <v>0</v>
      </c>
      <c r="AQ66" s="72">
        <f t="shared" si="103"/>
        <v>0</v>
      </c>
      <c r="AR66" s="72">
        <f t="shared" si="104"/>
        <v>10293.499999999998</v>
      </c>
      <c r="AS66" s="72">
        <f t="shared" si="105"/>
        <v>17500</v>
      </c>
      <c r="AT66" s="301"/>
      <c r="AU66" s="72">
        <f t="shared" si="106"/>
        <v>0</v>
      </c>
      <c r="AV66" s="72">
        <f t="shared" si="107"/>
        <v>0</v>
      </c>
      <c r="AW66" s="72">
        <f t="shared" si="108"/>
        <v>0</v>
      </c>
      <c r="AX66" s="72">
        <f t="shared" si="109"/>
        <v>1568</v>
      </c>
      <c r="AY66" s="72">
        <f t="shared" si="110"/>
        <v>0</v>
      </c>
      <c r="AZ66" s="301"/>
      <c r="BG66" s="72">
        <f t="shared" si="111"/>
        <v>0</v>
      </c>
      <c r="BH66" s="72">
        <f t="shared" si="112"/>
        <v>0</v>
      </c>
      <c r="BI66" s="72">
        <f t="shared" si="113"/>
        <v>0</v>
      </c>
      <c r="BJ66" s="72">
        <f t="shared" si="114"/>
        <v>3571.75</v>
      </c>
      <c r="BK66" s="72">
        <f t="shared" si="115"/>
        <v>0</v>
      </c>
      <c r="BL66" s="301"/>
      <c r="CE66" s="72">
        <f t="shared" si="116"/>
        <v>0</v>
      </c>
      <c r="CF66" s="72">
        <f t="shared" si="117"/>
        <v>0</v>
      </c>
      <c r="CG66" s="72">
        <f t="shared" si="118"/>
        <v>0</v>
      </c>
      <c r="CH66" s="72">
        <f t="shared" si="119"/>
        <v>103.25</v>
      </c>
      <c r="CI66" s="72">
        <f t="shared" si="120"/>
        <v>0</v>
      </c>
      <c r="CJ66" s="301"/>
      <c r="CK66" s="72">
        <f t="shared" si="121"/>
        <v>0</v>
      </c>
      <c r="CL66" s="72">
        <f t="shared" si="122"/>
        <v>0</v>
      </c>
      <c r="CM66" s="72">
        <f t="shared" si="123"/>
        <v>0</v>
      </c>
      <c r="CN66" s="72">
        <f t="shared" si="124"/>
        <v>1963.5</v>
      </c>
      <c r="CO66" s="72">
        <f t="shared" si="125"/>
        <v>0</v>
      </c>
      <c r="CP66" s="301"/>
    </row>
    <row r="67" spans="1:94" x14ac:dyDescent="0.25">
      <c r="A67" s="3" t="s">
        <v>246</v>
      </c>
      <c r="B67" s="3" t="s">
        <v>121</v>
      </c>
      <c r="C67" s="3" t="s">
        <v>47</v>
      </c>
      <c r="D67" s="3" t="s">
        <v>48</v>
      </c>
      <c r="E67" s="3" t="s">
        <v>48</v>
      </c>
      <c r="F67" s="3" t="s">
        <v>436</v>
      </c>
      <c r="G67" t="s">
        <v>122</v>
      </c>
      <c r="H67" s="67">
        <f t="shared" si="100"/>
        <v>750</v>
      </c>
      <c r="I67" s="67">
        <f t="shared" si="100"/>
        <v>750</v>
      </c>
      <c r="J67" s="67">
        <f t="shared" si="100"/>
        <v>750</v>
      </c>
      <c r="K67" s="67">
        <f t="shared" si="100"/>
        <v>750</v>
      </c>
      <c r="L67" s="705">
        <v>3000</v>
      </c>
      <c r="N67" s="209" t="s">
        <v>705</v>
      </c>
      <c r="P67" s="195">
        <f>INDEX('Apportionment Bases'!AK$6:AK$33,MATCH('PC17'!$N67,'Apportionment Bases'!$A$6:$A$33,0))</f>
        <v>0</v>
      </c>
      <c r="Q67" s="195">
        <f>INDEX('Apportionment Bases'!AL$6:AL$33,MATCH('PC17'!$N67,'Apportionment Bases'!$A$6:$A$33,0))</f>
        <v>0</v>
      </c>
      <c r="R67" s="195">
        <f>INDEX('Apportionment Bases'!AM$6:AM$33,MATCH('PC17'!$N67,'Apportionment Bases'!$A$6:$A$33,0))</f>
        <v>0</v>
      </c>
      <c r="S67" s="195">
        <f>INDEX('Apportionment Bases'!AN$6:AN$33,MATCH('PC17'!$N67,'Apportionment Bases'!$A$6:$A$33,0))</f>
        <v>0.5</v>
      </c>
      <c r="T67" s="195">
        <f>INDEX('Apportionment Bases'!AO$6:AO$33,MATCH('PC17'!$N67,'Apportionment Bases'!$A$6:$A$33,0))</f>
        <v>0.5</v>
      </c>
      <c r="V67" s="72">
        <f t="shared" si="69"/>
        <v>0</v>
      </c>
      <c r="W67" s="72">
        <f t="shared" si="70"/>
        <v>0</v>
      </c>
      <c r="X67" s="72">
        <f t="shared" si="97"/>
        <v>0</v>
      </c>
      <c r="Y67" s="72">
        <f t="shared" si="98"/>
        <v>1500</v>
      </c>
      <c r="Z67" s="72">
        <f t="shared" si="99"/>
        <v>1500</v>
      </c>
      <c r="AA67" s="272" t="str">
        <f t="shared" si="71"/>
        <v>TRUE</v>
      </c>
      <c r="AH67" s="301"/>
      <c r="AO67" s="72">
        <f t="shared" si="101"/>
        <v>0</v>
      </c>
      <c r="AP67" s="72">
        <f t="shared" si="102"/>
        <v>0</v>
      </c>
      <c r="AQ67" s="72">
        <f t="shared" si="103"/>
        <v>0</v>
      </c>
      <c r="AR67" s="72">
        <f t="shared" si="104"/>
        <v>882.3</v>
      </c>
      <c r="AS67" s="72">
        <f t="shared" si="105"/>
        <v>1500</v>
      </c>
      <c r="AT67" s="301"/>
      <c r="AU67" s="72">
        <f t="shared" si="106"/>
        <v>0</v>
      </c>
      <c r="AV67" s="72">
        <f t="shared" si="107"/>
        <v>0</v>
      </c>
      <c r="AW67" s="72">
        <f t="shared" si="108"/>
        <v>0</v>
      </c>
      <c r="AX67" s="72">
        <f t="shared" si="109"/>
        <v>134.4</v>
      </c>
      <c r="AY67" s="72">
        <f t="shared" si="110"/>
        <v>0</v>
      </c>
      <c r="AZ67" s="301"/>
      <c r="BG67" s="72">
        <f t="shared" si="111"/>
        <v>0</v>
      </c>
      <c r="BH67" s="72">
        <f t="shared" si="112"/>
        <v>0</v>
      </c>
      <c r="BI67" s="72">
        <f t="shared" si="113"/>
        <v>0</v>
      </c>
      <c r="BJ67" s="72">
        <f t="shared" si="114"/>
        <v>306.14999999999998</v>
      </c>
      <c r="BK67" s="72">
        <f t="shared" si="115"/>
        <v>0</v>
      </c>
      <c r="BL67" s="301"/>
      <c r="CE67" s="72">
        <f t="shared" si="116"/>
        <v>0</v>
      </c>
      <c r="CF67" s="72">
        <f t="shared" si="117"/>
        <v>0</v>
      </c>
      <c r="CG67" s="72">
        <f t="shared" si="118"/>
        <v>0</v>
      </c>
      <c r="CH67" s="72">
        <f t="shared" si="119"/>
        <v>8.85</v>
      </c>
      <c r="CI67" s="72">
        <f t="shared" si="120"/>
        <v>0</v>
      </c>
      <c r="CJ67" s="301"/>
      <c r="CK67" s="72">
        <f t="shared" si="121"/>
        <v>0</v>
      </c>
      <c r="CL67" s="72">
        <f t="shared" si="122"/>
        <v>0</v>
      </c>
      <c r="CM67" s="72">
        <f t="shared" si="123"/>
        <v>0</v>
      </c>
      <c r="CN67" s="72">
        <f t="shared" si="124"/>
        <v>168.29999999999998</v>
      </c>
      <c r="CO67" s="72">
        <f t="shared" si="125"/>
        <v>0</v>
      </c>
      <c r="CP67" s="301"/>
    </row>
    <row r="68" spans="1:94" x14ac:dyDescent="0.25">
      <c r="A68" s="3" t="s">
        <v>246</v>
      </c>
      <c r="B68" s="3" t="s">
        <v>121</v>
      </c>
      <c r="C68" s="3" t="s">
        <v>45</v>
      </c>
      <c r="D68" s="3" t="s">
        <v>48</v>
      </c>
      <c r="E68" s="3" t="s">
        <v>48</v>
      </c>
      <c r="F68" s="3" t="s">
        <v>437</v>
      </c>
      <c r="G68" t="s">
        <v>122</v>
      </c>
      <c r="H68" s="67">
        <f t="shared" si="100"/>
        <v>200</v>
      </c>
      <c r="I68" s="67">
        <f t="shared" si="100"/>
        <v>200</v>
      </c>
      <c r="J68" s="67">
        <f t="shared" si="100"/>
        <v>200</v>
      </c>
      <c r="K68" s="67">
        <f t="shared" si="100"/>
        <v>200</v>
      </c>
      <c r="L68" s="705">
        <v>800</v>
      </c>
      <c r="N68" s="209" t="s">
        <v>705</v>
      </c>
      <c r="P68" s="195">
        <f>INDEX('Apportionment Bases'!AK$6:AK$33,MATCH('PC17'!$N68,'Apportionment Bases'!$A$6:$A$33,0))</f>
        <v>0</v>
      </c>
      <c r="Q68" s="195">
        <f>INDEX('Apportionment Bases'!AL$6:AL$33,MATCH('PC17'!$N68,'Apportionment Bases'!$A$6:$A$33,0))</f>
        <v>0</v>
      </c>
      <c r="R68" s="195">
        <f>INDEX('Apportionment Bases'!AM$6:AM$33,MATCH('PC17'!$N68,'Apportionment Bases'!$A$6:$A$33,0))</f>
        <v>0</v>
      </c>
      <c r="S68" s="195">
        <f>INDEX('Apportionment Bases'!AN$6:AN$33,MATCH('PC17'!$N68,'Apportionment Bases'!$A$6:$A$33,0))</f>
        <v>0.5</v>
      </c>
      <c r="T68" s="195">
        <f>INDEX('Apportionment Bases'!AO$6:AO$33,MATCH('PC17'!$N68,'Apportionment Bases'!$A$6:$A$33,0))</f>
        <v>0.5</v>
      </c>
      <c r="V68" s="72">
        <f t="shared" si="69"/>
        <v>0</v>
      </c>
      <c r="W68" s="72">
        <f t="shared" si="70"/>
        <v>0</v>
      </c>
      <c r="X68" s="72">
        <f t="shared" si="97"/>
        <v>0</v>
      </c>
      <c r="Y68" s="72">
        <f t="shared" si="98"/>
        <v>400</v>
      </c>
      <c r="Z68" s="72">
        <f t="shared" si="99"/>
        <v>400</v>
      </c>
      <c r="AA68" s="272" t="str">
        <f t="shared" si="71"/>
        <v>TRUE</v>
      </c>
      <c r="AH68" s="301"/>
      <c r="AO68" s="72">
        <f t="shared" si="101"/>
        <v>0</v>
      </c>
      <c r="AP68" s="72">
        <f t="shared" si="102"/>
        <v>0</v>
      </c>
      <c r="AQ68" s="72">
        <f t="shared" si="103"/>
        <v>0</v>
      </c>
      <c r="AR68" s="72">
        <f t="shared" si="104"/>
        <v>235.27999999999997</v>
      </c>
      <c r="AS68" s="72">
        <f t="shared" si="105"/>
        <v>400</v>
      </c>
      <c r="AT68" s="301"/>
      <c r="AU68" s="72">
        <f t="shared" si="106"/>
        <v>0</v>
      </c>
      <c r="AV68" s="72">
        <f t="shared" si="107"/>
        <v>0</v>
      </c>
      <c r="AW68" s="72">
        <f t="shared" si="108"/>
        <v>0</v>
      </c>
      <c r="AX68" s="72">
        <f t="shared" si="109"/>
        <v>35.839999999999996</v>
      </c>
      <c r="AY68" s="72">
        <f t="shared" si="110"/>
        <v>0</v>
      </c>
      <c r="AZ68" s="301"/>
      <c r="BG68" s="72">
        <f t="shared" si="111"/>
        <v>0</v>
      </c>
      <c r="BH68" s="72">
        <f t="shared" si="112"/>
        <v>0</v>
      </c>
      <c r="BI68" s="72">
        <f t="shared" si="113"/>
        <v>0</v>
      </c>
      <c r="BJ68" s="72">
        <f t="shared" si="114"/>
        <v>81.64</v>
      </c>
      <c r="BK68" s="72">
        <f t="shared" si="115"/>
        <v>0</v>
      </c>
      <c r="BL68" s="301"/>
      <c r="CE68" s="72">
        <f t="shared" si="116"/>
        <v>0</v>
      </c>
      <c r="CF68" s="72">
        <f t="shared" si="117"/>
        <v>0</v>
      </c>
      <c r="CG68" s="72">
        <f t="shared" si="118"/>
        <v>0</v>
      </c>
      <c r="CH68" s="72">
        <f t="shared" si="119"/>
        <v>2.36</v>
      </c>
      <c r="CI68" s="72">
        <f t="shared" si="120"/>
        <v>0</v>
      </c>
      <c r="CJ68" s="301"/>
      <c r="CK68" s="72">
        <f t="shared" si="121"/>
        <v>0</v>
      </c>
      <c r="CL68" s="72">
        <f t="shared" si="122"/>
        <v>0</v>
      </c>
      <c r="CM68" s="72">
        <f t="shared" si="123"/>
        <v>0</v>
      </c>
      <c r="CN68" s="72">
        <f t="shared" si="124"/>
        <v>44.879999999999995</v>
      </c>
      <c r="CO68" s="72">
        <f t="shared" si="125"/>
        <v>0</v>
      </c>
      <c r="CP68" s="301"/>
    </row>
    <row r="69" spans="1:94" x14ac:dyDescent="0.25">
      <c r="A69" s="3" t="s">
        <v>246</v>
      </c>
      <c r="B69" s="3" t="s">
        <v>123</v>
      </c>
      <c r="C69" s="3" t="s">
        <v>47</v>
      </c>
      <c r="D69" s="3" t="s">
        <v>48</v>
      </c>
      <c r="E69" s="3" t="s">
        <v>48</v>
      </c>
      <c r="F69" s="3" t="s">
        <v>438</v>
      </c>
      <c r="G69" t="s">
        <v>124</v>
      </c>
      <c r="H69" s="67">
        <f t="shared" si="100"/>
        <v>216500</v>
      </c>
      <c r="I69" s="67">
        <f t="shared" si="100"/>
        <v>216500</v>
      </c>
      <c r="J69" s="67">
        <f t="shared" si="100"/>
        <v>216500</v>
      </c>
      <c r="K69" s="67">
        <f t="shared" si="100"/>
        <v>216500</v>
      </c>
      <c r="L69" s="705">
        <v>866000</v>
      </c>
      <c r="N69" s="209" t="s">
        <v>4</v>
      </c>
      <c r="P69" s="195">
        <f>INDEX('Apportionment Bases'!AK$6:AK$33,MATCH('PC17'!$N69,'Apportionment Bases'!$A$6:$A$33,0))</f>
        <v>1</v>
      </c>
      <c r="Q69" s="195">
        <f>INDEX('Apportionment Bases'!AL$6:AL$33,MATCH('PC17'!$N69,'Apportionment Bases'!$A$6:$A$33,0))</f>
        <v>0</v>
      </c>
      <c r="R69" s="195">
        <f>INDEX('Apportionment Bases'!AM$6:AM$33,MATCH('PC17'!$N69,'Apportionment Bases'!$A$6:$A$33,0))</f>
        <v>0</v>
      </c>
      <c r="S69" s="195">
        <f>INDEX('Apportionment Bases'!AN$6:AN$33,MATCH('PC17'!$N69,'Apportionment Bases'!$A$6:$A$33,0))</f>
        <v>0</v>
      </c>
      <c r="T69" s="195">
        <f>INDEX('Apportionment Bases'!AO$6:AO$33,MATCH('PC17'!$N69,'Apportionment Bases'!$A$6:$A$33,0))</f>
        <v>0</v>
      </c>
      <c r="V69" s="72">
        <f t="shared" si="69"/>
        <v>866000</v>
      </c>
      <c r="W69" s="72">
        <f t="shared" si="70"/>
        <v>0</v>
      </c>
      <c r="X69" s="72">
        <f t="shared" si="97"/>
        <v>0</v>
      </c>
      <c r="Y69" s="72">
        <f t="shared" si="98"/>
        <v>0</v>
      </c>
      <c r="Z69" s="72">
        <f t="shared" si="99"/>
        <v>0</v>
      </c>
      <c r="AA69" s="272" t="str">
        <f t="shared" si="71"/>
        <v>TRUE</v>
      </c>
      <c r="AH69" s="301"/>
      <c r="AO69" s="72">
        <f t="shared" si="101"/>
        <v>550602.80000000005</v>
      </c>
      <c r="AP69" s="72">
        <f t="shared" si="102"/>
        <v>0</v>
      </c>
      <c r="AQ69" s="72">
        <f t="shared" si="103"/>
        <v>0</v>
      </c>
      <c r="AR69" s="72">
        <f t="shared" si="104"/>
        <v>0</v>
      </c>
      <c r="AS69" s="72">
        <f t="shared" si="105"/>
        <v>0</v>
      </c>
      <c r="AT69" s="301"/>
      <c r="AU69" s="72">
        <f t="shared" si="106"/>
        <v>73869.8</v>
      </c>
      <c r="AV69" s="72">
        <f t="shared" si="107"/>
        <v>0</v>
      </c>
      <c r="AW69" s="72">
        <f t="shared" si="108"/>
        <v>0</v>
      </c>
      <c r="AX69" s="72">
        <f t="shared" si="109"/>
        <v>0</v>
      </c>
      <c r="AY69" s="72">
        <f t="shared" si="110"/>
        <v>0</v>
      </c>
      <c r="AZ69" s="301"/>
      <c r="BG69" s="72">
        <f t="shared" si="111"/>
        <v>128168</v>
      </c>
      <c r="BH69" s="72">
        <f t="shared" si="112"/>
        <v>0</v>
      </c>
      <c r="BI69" s="72">
        <f t="shared" si="113"/>
        <v>0</v>
      </c>
      <c r="BJ69" s="72">
        <f t="shared" si="114"/>
        <v>0</v>
      </c>
      <c r="BK69" s="72">
        <f t="shared" si="115"/>
        <v>0</v>
      </c>
      <c r="BL69" s="301"/>
      <c r="CE69" s="72">
        <f t="shared" si="116"/>
        <v>3204.2000000000003</v>
      </c>
      <c r="CF69" s="72">
        <f t="shared" si="117"/>
        <v>0</v>
      </c>
      <c r="CG69" s="72">
        <f t="shared" si="118"/>
        <v>0</v>
      </c>
      <c r="CH69" s="72">
        <f t="shared" si="119"/>
        <v>0</v>
      </c>
      <c r="CI69" s="72">
        <f t="shared" si="120"/>
        <v>0</v>
      </c>
      <c r="CJ69" s="301"/>
      <c r="CK69" s="72">
        <f t="shared" si="121"/>
        <v>110155.20000000001</v>
      </c>
      <c r="CL69" s="72">
        <f t="shared" si="122"/>
        <v>0</v>
      </c>
      <c r="CM69" s="72">
        <f t="shared" si="123"/>
        <v>0</v>
      </c>
      <c r="CN69" s="72">
        <f t="shared" si="124"/>
        <v>0</v>
      </c>
      <c r="CO69" s="72">
        <f t="shared" si="125"/>
        <v>0</v>
      </c>
      <c r="CP69" s="301"/>
    </row>
    <row r="70" spans="1:94" x14ac:dyDescent="0.25">
      <c r="A70" s="3" t="s">
        <v>246</v>
      </c>
      <c r="B70" s="3" t="s">
        <v>125</v>
      </c>
      <c r="C70" s="3" t="s">
        <v>47</v>
      </c>
      <c r="D70" s="3" t="s">
        <v>48</v>
      </c>
      <c r="E70" s="3" t="s">
        <v>48</v>
      </c>
      <c r="F70" s="3" t="s">
        <v>439</v>
      </c>
      <c r="G70" t="s">
        <v>126</v>
      </c>
      <c r="H70" s="67">
        <f t="shared" si="100"/>
        <v>2000</v>
      </c>
      <c r="I70" s="67">
        <f t="shared" si="100"/>
        <v>2000</v>
      </c>
      <c r="J70" s="67">
        <f t="shared" si="100"/>
        <v>2000</v>
      </c>
      <c r="K70" s="67">
        <f t="shared" si="100"/>
        <v>2000</v>
      </c>
      <c r="L70" s="705">
        <v>8000</v>
      </c>
      <c r="N70" s="209" t="s">
        <v>705</v>
      </c>
      <c r="P70" s="195">
        <f>INDEX('Apportionment Bases'!AK$6:AK$33,MATCH('PC17'!$N70,'Apportionment Bases'!$A$6:$A$33,0))</f>
        <v>0</v>
      </c>
      <c r="Q70" s="195">
        <f>INDEX('Apportionment Bases'!AL$6:AL$33,MATCH('PC17'!$N70,'Apportionment Bases'!$A$6:$A$33,0))</f>
        <v>0</v>
      </c>
      <c r="R70" s="195">
        <f>INDEX('Apportionment Bases'!AM$6:AM$33,MATCH('PC17'!$N70,'Apportionment Bases'!$A$6:$A$33,0))</f>
        <v>0</v>
      </c>
      <c r="S70" s="195">
        <f>INDEX('Apportionment Bases'!AN$6:AN$33,MATCH('PC17'!$N70,'Apportionment Bases'!$A$6:$A$33,0))</f>
        <v>0.5</v>
      </c>
      <c r="T70" s="195">
        <f>INDEX('Apportionment Bases'!AO$6:AO$33,MATCH('PC17'!$N70,'Apportionment Bases'!$A$6:$A$33,0))</f>
        <v>0.5</v>
      </c>
      <c r="V70" s="72">
        <f t="shared" si="69"/>
        <v>0</v>
      </c>
      <c r="W70" s="72">
        <f t="shared" si="70"/>
        <v>0</v>
      </c>
      <c r="X70" s="72">
        <f t="shared" si="97"/>
        <v>0</v>
      </c>
      <c r="Y70" s="72">
        <f t="shared" si="98"/>
        <v>4000</v>
      </c>
      <c r="Z70" s="72">
        <f t="shared" si="99"/>
        <v>4000</v>
      </c>
      <c r="AA70" s="272" t="str">
        <f t="shared" si="71"/>
        <v>TRUE</v>
      </c>
      <c r="AH70" s="301"/>
      <c r="AO70" s="72">
        <f t="shared" si="101"/>
        <v>0</v>
      </c>
      <c r="AP70" s="72">
        <f t="shared" si="102"/>
        <v>0</v>
      </c>
      <c r="AQ70" s="72">
        <f t="shared" si="103"/>
        <v>0</v>
      </c>
      <c r="AR70" s="72">
        <f t="shared" si="104"/>
        <v>2352.7999999999997</v>
      </c>
      <c r="AS70" s="72">
        <f t="shared" si="105"/>
        <v>4000</v>
      </c>
      <c r="AT70" s="301"/>
      <c r="AU70" s="72">
        <f t="shared" si="106"/>
        <v>0</v>
      </c>
      <c r="AV70" s="72">
        <f t="shared" si="107"/>
        <v>0</v>
      </c>
      <c r="AW70" s="72">
        <f t="shared" si="108"/>
        <v>0</v>
      </c>
      <c r="AX70" s="72">
        <f t="shared" si="109"/>
        <v>358.4</v>
      </c>
      <c r="AY70" s="72">
        <f t="shared" si="110"/>
        <v>0</v>
      </c>
      <c r="AZ70" s="301"/>
      <c r="BG70" s="72">
        <f t="shared" si="111"/>
        <v>0</v>
      </c>
      <c r="BH70" s="72">
        <f t="shared" si="112"/>
        <v>0</v>
      </c>
      <c r="BI70" s="72">
        <f t="shared" si="113"/>
        <v>0</v>
      </c>
      <c r="BJ70" s="72">
        <f t="shared" si="114"/>
        <v>816.4</v>
      </c>
      <c r="BK70" s="72">
        <f t="shared" si="115"/>
        <v>0</v>
      </c>
      <c r="BL70" s="301"/>
      <c r="CE70" s="72">
        <f t="shared" si="116"/>
        <v>0</v>
      </c>
      <c r="CF70" s="72">
        <f t="shared" si="117"/>
        <v>0</v>
      </c>
      <c r="CG70" s="72">
        <f t="shared" si="118"/>
        <v>0</v>
      </c>
      <c r="CH70" s="72">
        <f t="shared" si="119"/>
        <v>23.599999999999998</v>
      </c>
      <c r="CI70" s="72">
        <f t="shared" si="120"/>
        <v>0</v>
      </c>
      <c r="CJ70" s="301"/>
      <c r="CK70" s="72">
        <f t="shared" si="121"/>
        <v>0</v>
      </c>
      <c r="CL70" s="72">
        <f t="shared" si="122"/>
        <v>0</v>
      </c>
      <c r="CM70" s="72">
        <f t="shared" si="123"/>
        <v>0</v>
      </c>
      <c r="CN70" s="72">
        <f t="shared" si="124"/>
        <v>448.79999999999995</v>
      </c>
      <c r="CO70" s="72">
        <f t="shared" si="125"/>
        <v>0</v>
      </c>
      <c r="CP70" s="301"/>
    </row>
    <row r="71" spans="1:94" x14ac:dyDescent="0.25">
      <c r="A71" s="3" t="s">
        <v>246</v>
      </c>
      <c r="B71" s="3" t="s">
        <v>127</v>
      </c>
      <c r="C71" s="3" t="s">
        <v>47</v>
      </c>
      <c r="D71" s="3" t="s">
        <v>48</v>
      </c>
      <c r="E71" s="3" t="s">
        <v>48</v>
      </c>
      <c r="F71" s="3" t="s">
        <v>440</v>
      </c>
      <c r="G71" t="s">
        <v>128</v>
      </c>
      <c r="H71" s="67">
        <f t="shared" si="100"/>
        <v>10000</v>
      </c>
      <c r="I71" s="67">
        <f t="shared" si="100"/>
        <v>10000</v>
      </c>
      <c r="J71" s="67">
        <f t="shared" si="100"/>
        <v>10000</v>
      </c>
      <c r="K71" s="67">
        <f t="shared" si="100"/>
        <v>10000</v>
      </c>
      <c r="L71" s="705">
        <v>40000</v>
      </c>
      <c r="N71" s="209" t="s">
        <v>705</v>
      </c>
      <c r="P71" s="195">
        <f>INDEX('Apportionment Bases'!AK$6:AK$33,MATCH('PC17'!$N71,'Apportionment Bases'!$A$6:$A$33,0))</f>
        <v>0</v>
      </c>
      <c r="Q71" s="195">
        <f>INDEX('Apportionment Bases'!AL$6:AL$33,MATCH('PC17'!$N71,'Apportionment Bases'!$A$6:$A$33,0))</f>
        <v>0</v>
      </c>
      <c r="R71" s="195">
        <f>INDEX('Apportionment Bases'!AM$6:AM$33,MATCH('PC17'!$N71,'Apportionment Bases'!$A$6:$A$33,0))</f>
        <v>0</v>
      </c>
      <c r="S71" s="195">
        <f>INDEX('Apportionment Bases'!AN$6:AN$33,MATCH('PC17'!$N71,'Apportionment Bases'!$A$6:$A$33,0))</f>
        <v>0.5</v>
      </c>
      <c r="T71" s="195">
        <f>INDEX('Apportionment Bases'!AO$6:AO$33,MATCH('PC17'!$N71,'Apportionment Bases'!$A$6:$A$33,0))</f>
        <v>0.5</v>
      </c>
      <c r="V71" s="72">
        <f t="shared" si="69"/>
        <v>0</v>
      </c>
      <c r="W71" s="72">
        <f t="shared" si="70"/>
        <v>0</v>
      </c>
      <c r="X71" s="72">
        <f t="shared" si="97"/>
        <v>0</v>
      </c>
      <c r="Y71" s="72">
        <f t="shared" si="98"/>
        <v>20000</v>
      </c>
      <c r="Z71" s="72">
        <f t="shared" si="99"/>
        <v>20000</v>
      </c>
      <c r="AA71" s="272" t="str">
        <f t="shared" si="71"/>
        <v>TRUE</v>
      </c>
      <c r="AH71" s="301"/>
      <c r="AO71" s="72">
        <f t="shared" si="101"/>
        <v>0</v>
      </c>
      <c r="AP71" s="72">
        <f t="shared" si="102"/>
        <v>0</v>
      </c>
      <c r="AQ71" s="72">
        <f t="shared" si="103"/>
        <v>0</v>
      </c>
      <c r="AR71" s="72">
        <f t="shared" si="104"/>
        <v>11763.999999999998</v>
      </c>
      <c r="AS71" s="72">
        <f t="shared" si="105"/>
        <v>20000</v>
      </c>
      <c r="AT71" s="301"/>
      <c r="AU71" s="72">
        <f t="shared" si="106"/>
        <v>0</v>
      </c>
      <c r="AV71" s="72">
        <f t="shared" si="107"/>
        <v>0</v>
      </c>
      <c r="AW71" s="72">
        <f t="shared" si="108"/>
        <v>0</v>
      </c>
      <c r="AX71" s="72">
        <f t="shared" si="109"/>
        <v>1792</v>
      </c>
      <c r="AY71" s="72">
        <f t="shared" si="110"/>
        <v>0</v>
      </c>
      <c r="AZ71" s="301"/>
      <c r="BG71" s="72">
        <f t="shared" si="111"/>
        <v>0</v>
      </c>
      <c r="BH71" s="72">
        <f t="shared" si="112"/>
        <v>0</v>
      </c>
      <c r="BI71" s="72">
        <f t="shared" si="113"/>
        <v>0</v>
      </c>
      <c r="BJ71" s="72">
        <f t="shared" si="114"/>
        <v>4082</v>
      </c>
      <c r="BK71" s="72">
        <f t="shared" si="115"/>
        <v>0</v>
      </c>
      <c r="BL71" s="301"/>
      <c r="CE71" s="72">
        <f t="shared" si="116"/>
        <v>0</v>
      </c>
      <c r="CF71" s="72">
        <f t="shared" si="117"/>
        <v>0</v>
      </c>
      <c r="CG71" s="72">
        <f t="shared" si="118"/>
        <v>0</v>
      </c>
      <c r="CH71" s="72">
        <f t="shared" si="119"/>
        <v>118</v>
      </c>
      <c r="CI71" s="72">
        <f t="shared" si="120"/>
        <v>0</v>
      </c>
      <c r="CJ71" s="301"/>
      <c r="CK71" s="72">
        <f t="shared" si="121"/>
        <v>0</v>
      </c>
      <c r="CL71" s="72">
        <f t="shared" si="122"/>
        <v>0</v>
      </c>
      <c r="CM71" s="72">
        <f t="shared" si="123"/>
        <v>0</v>
      </c>
      <c r="CN71" s="72">
        <f t="shared" si="124"/>
        <v>2244</v>
      </c>
      <c r="CO71" s="72">
        <f t="shared" si="125"/>
        <v>0</v>
      </c>
      <c r="CP71" s="301"/>
    </row>
    <row r="72" spans="1:94" x14ac:dyDescent="0.25">
      <c r="A72" s="3" t="s">
        <v>246</v>
      </c>
      <c r="B72" s="3" t="s">
        <v>129</v>
      </c>
      <c r="C72" s="3" t="s">
        <v>47</v>
      </c>
      <c r="D72" s="3" t="s">
        <v>48</v>
      </c>
      <c r="E72" s="3" t="s">
        <v>48</v>
      </c>
      <c r="F72" s="3" t="s">
        <v>441</v>
      </c>
      <c r="G72" t="s">
        <v>383</v>
      </c>
      <c r="H72" s="67">
        <f t="shared" si="100"/>
        <v>15000</v>
      </c>
      <c r="I72" s="67">
        <f t="shared" si="100"/>
        <v>15000</v>
      </c>
      <c r="J72" s="67">
        <f t="shared" si="100"/>
        <v>15000</v>
      </c>
      <c r="K72" s="67">
        <f t="shared" si="100"/>
        <v>15000</v>
      </c>
      <c r="L72" s="705">
        <v>60000</v>
      </c>
      <c r="N72" s="209" t="s">
        <v>4</v>
      </c>
      <c r="P72" s="195">
        <f>INDEX('Apportionment Bases'!AK$6:AK$33,MATCH('PC17'!$N72,'Apportionment Bases'!$A$6:$A$33,0))</f>
        <v>1</v>
      </c>
      <c r="Q72" s="195">
        <f>INDEX('Apportionment Bases'!AL$6:AL$33,MATCH('PC17'!$N72,'Apportionment Bases'!$A$6:$A$33,0))</f>
        <v>0</v>
      </c>
      <c r="R72" s="195">
        <f>INDEX('Apportionment Bases'!AM$6:AM$33,MATCH('PC17'!$N72,'Apportionment Bases'!$A$6:$A$33,0))</f>
        <v>0</v>
      </c>
      <c r="S72" s="195">
        <f>INDEX('Apportionment Bases'!AN$6:AN$33,MATCH('PC17'!$N72,'Apportionment Bases'!$A$6:$A$33,0))</f>
        <v>0</v>
      </c>
      <c r="T72" s="195">
        <f>INDEX('Apportionment Bases'!AO$6:AO$33,MATCH('PC17'!$N72,'Apportionment Bases'!$A$6:$A$33,0))</f>
        <v>0</v>
      </c>
      <c r="V72" s="72">
        <f t="shared" si="69"/>
        <v>60000</v>
      </c>
      <c r="W72" s="72">
        <f t="shared" si="70"/>
        <v>0</v>
      </c>
      <c r="X72" s="72">
        <f t="shared" si="97"/>
        <v>0</v>
      </c>
      <c r="Y72" s="72">
        <f t="shared" si="98"/>
        <v>0</v>
      </c>
      <c r="Z72" s="72">
        <f t="shared" si="99"/>
        <v>0</v>
      </c>
      <c r="AA72" s="272" t="str">
        <f t="shared" si="71"/>
        <v>TRUE</v>
      </c>
      <c r="AH72" s="301"/>
      <c r="AO72" s="72">
        <f t="shared" si="101"/>
        <v>38148</v>
      </c>
      <c r="AP72" s="72">
        <f t="shared" si="102"/>
        <v>0</v>
      </c>
      <c r="AQ72" s="72">
        <f t="shared" si="103"/>
        <v>0</v>
      </c>
      <c r="AR72" s="72">
        <f t="shared" si="104"/>
        <v>0</v>
      </c>
      <c r="AS72" s="72">
        <f t="shared" si="105"/>
        <v>0</v>
      </c>
      <c r="AT72" s="301"/>
      <c r="AU72" s="72">
        <f t="shared" si="106"/>
        <v>5118</v>
      </c>
      <c r="AV72" s="72">
        <f t="shared" si="107"/>
        <v>0</v>
      </c>
      <c r="AW72" s="72">
        <f t="shared" si="108"/>
        <v>0</v>
      </c>
      <c r="AX72" s="72">
        <f t="shared" si="109"/>
        <v>0</v>
      </c>
      <c r="AY72" s="72">
        <f t="shared" si="110"/>
        <v>0</v>
      </c>
      <c r="AZ72" s="301"/>
      <c r="BG72" s="72">
        <f t="shared" si="111"/>
        <v>8880</v>
      </c>
      <c r="BH72" s="72">
        <f t="shared" si="112"/>
        <v>0</v>
      </c>
      <c r="BI72" s="72">
        <f t="shared" si="113"/>
        <v>0</v>
      </c>
      <c r="BJ72" s="72">
        <f t="shared" si="114"/>
        <v>0</v>
      </c>
      <c r="BK72" s="72">
        <f t="shared" si="115"/>
        <v>0</v>
      </c>
      <c r="BL72" s="301"/>
      <c r="CE72" s="72">
        <f t="shared" si="116"/>
        <v>222</v>
      </c>
      <c r="CF72" s="72">
        <f t="shared" si="117"/>
        <v>0</v>
      </c>
      <c r="CG72" s="72">
        <f t="shared" si="118"/>
        <v>0</v>
      </c>
      <c r="CH72" s="72">
        <f t="shared" si="119"/>
        <v>0</v>
      </c>
      <c r="CI72" s="72">
        <f t="shared" si="120"/>
        <v>0</v>
      </c>
      <c r="CJ72" s="301"/>
      <c r="CK72" s="72">
        <f t="shared" si="121"/>
        <v>7632</v>
      </c>
      <c r="CL72" s="72">
        <f t="shared" si="122"/>
        <v>0</v>
      </c>
      <c r="CM72" s="72">
        <f t="shared" si="123"/>
        <v>0</v>
      </c>
      <c r="CN72" s="72">
        <f t="shared" si="124"/>
        <v>0</v>
      </c>
      <c r="CO72" s="72">
        <f t="shared" si="125"/>
        <v>0</v>
      </c>
      <c r="CP72" s="301"/>
    </row>
    <row r="73" spans="1:94" x14ac:dyDescent="0.25">
      <c r="A73" s="3" t="s">
        <v>246</v>
      </c>
      <c r="B73" s="3" t="s">
        <v>131</v>
      </c>
      <c r="C73" s="3" t="s">
        <v>47</v>
      </c>
      <c r="D73" s="3" t="s">
        <v>48</v>
      </c>
      <c r="E73" s="3" t="s">
        <v>48</v>
      </c>
      <c r="F73" s="3" t="s">
        <v>442</v>
      </c>
      <c r="G73" t="s">
        <v>132</v>
      </c>
      <c r="H73" s="67">
        <f t="shared" si="100"/>
        <v>4750</v>
      </c>
      <c r="I73" s="67">
        <f t="shared" si="100"/>
        <v>4750</v>
      </c>
      <c r="J73" s="67">
        <f t="shared" si="100"/>
        <v>4750</v>
      </c>
      <c r="K73" s="67">
        <f t="shared" si="100"/>
        <v>4750</v>
      </c>
      <c r="L73" s="705">
        <v>19000</v>
      </c>
      <c r="N73" s="209" t="s">
        <v>4</v>
      </c>
      <c r="P73" s="195">
        <f>INDEX('Apportionment Bases'!AK$6:AK$33,MATCH('PC17'!$N73,'Apportionment Bases'!$A$6:$A$33,0))</f>
        <v>1</v>
      </c>
      <c r="Q73" s="195">
        <f>INDEX('Apportionment Bases'!AL$6:AL$33,MATCH('PC17'!$N73,'Apportionment Bases'!$A$6:$A$33,0))</f>
        <v>0</v>
      </c>
      <c r="R73" s="195">
        <f>INDEX('Apportionment Bases'!AM$6:AM$33,MATCH('PC17'!$N73,'Apportionment Bases'!$A$6:$A$33,0))</f>
        <v>0</v>
      </c>
      <c r="S73" s="195">
        <f>INDEX('Apportionment Bases'!AN$6:AN$33,MATCH('PC17'!$N73,'Apportionment Bases'!$A$6:$A$33,0))</f>
        <v>0</v>
      </c>
      <c r="T73" s="195">
        <f>INDEX('Apportionment Bases'!AO$6:AO$33,MATCH('PC17'!$N73,'Apportionment Bases'!$A$6:$A$33,0))</f>
        <v>0</v>
      </c>
      <c r="V73" s="72">
        <f t="shared" si="69"/>
        <v>19000</v>
      </c>
      <c r="W73" s="72">
        <f t="shared" si="70"/>
        <v>0</v>
      </c>
      <c r="X73" s="72">
        <f t="shared" si="97"/>
        <v>0</v>
      </c>
      <c r="Y73" s="72">
        <f t="shared" si="98"/>
        <v>0</v>
      </c>
      <c r="Z73" s="72">
        <f t="shared" si="99"/>
        <v>0</v>
      </c>
      <c r="AA73" s="272" t="str">
        <f t="shared" si="71"/>
        <v>TRUE</v>
      </c>
      <c r="AH73" s="301"/>
      <c r="AO73" s="72">
        <f t="shared" si="101"/>
        <v>12080.2</v>
      </c>
      <c r="AP73" s="72">
        <f t="shared" si="102"/>
        <v>0</v>
      </c>
      <c r="AQ73" s="72">
        <f t="shared" si="103"/>
        <v>0</v>
      </c>
      <c r="AR73" s="72">
        <f t="shared" si="104"/>
        <v>0</v>
      </c>
      <c r="AS73" s="72">
        <f t="shared" si="105"/>
        <v>0</v>
      </c>
      <c r="AT73" s="301"/>
      <c r="AU73" s="72">
        <f t="shared" si="106"/>
        <v>1620.7</v>
      </c>
      <c r="AV73" s="72">
        <f t="shared" si="107"/>
        <v>0</v>
      </c>
      <c r="AW73" s="72">
        <f t="shared" si="108"/>
        <v>0</v>
      </c>
      <c r="AX73" s="72">
        <f t="shared" si="109"/>
        <v>0</v>
      </c>
      <c r="AY73" s="72">
        <f t="shared" si="110"/>
        <v>0</v>
      </c>
      <c r="AZ73" s="301"/>
      <c r="BG73" s="72">
        <f t="shared" si="111"/>
        <v>2812</v>
      </c>
      <c r="BH73" s="72">
        <f t="shared" si="112"/>
        <v>0</v>
      </c>
      <c r="BI73" s="72">
        <f t="shared" si="113"/>
        <v>0</v>
      </c>
      <c r="BJ73" s="72">
        <f t="shared" si="114"/>
        <v>0</v>
      </c>
      <c r="BK73" s="72">
        <f t="shared" si="115"/>
        <v>0</v>
      </c>
      <c r="BL73" s="301"/>
      <c r="CE73" s="72">
        <f t="shared" si="116"/>
        <v>70.3</v>
      </c>
      <c r="CF73" s="72">
        <f t="shared" si="117"/>
        <v>0</v>
      </c>
      <c r="CG73" s="72">
        <f t="shared" si="118"/>
        <v>0</v>
      </c>
      <c r="CH73" s="72">
        <f t="shared" si="119"/>
        <v>0</v>
      </c>
      <c r="CI73" s="72">
        <f t="shared" si="120"/>
        <v>0</v>
      </c>
      <c r="CJ73" s="301"/>
      <c r="CK73" s="72">
        <f t="shared" si="121"/>
        <v>2416.8000000000002</v>
      </c>
      <c r="CL73" s="72">
        <f t="shared" si="122"/>
        <v>0</v>
      </c>
      <c r="CM73" s="72">
        <f t="shared" si="123"/>
        <v>0</v>
      </c>
      <c r="CN73" s="72">
        <f t="shared" si="124"/>
        <v>0</v>
      </c>
      <c r="CO73" s="72">
        <f t="shared" si="125"/>
        <v>0</v>
      </c>
      <c r="CP73" s="301"/>
    </row>
    <row r="74" spans="1:94" x14ac:dyDescent="0.25">
      <c r="A74" s="3" t="s">
        <v>246</v>
      </c>
      <c r="B74" s="3" t="s">
        <v>133</v>
      </c>
      <c r="C74" s="3" t="s">
        <v>47</v>
      </c>
      <c r="D74" s="3" t="s">
        <v>48</v>
      </c>
      <c r="E74" s="3" t="s">
        <v>48</v>
      </c>
      <c r="F74" s="3" t="s">
        <v>443</v>
      </c>
      <c r="G74" t="s">
        <v>134</v>
      </c>
      <c r="H74" s="67">
        <f t="shared" si="100"/>
        <v>1750</v>
      </c>
      <c r="I74" s="67">
        <f t="shared" si="100"/>
        <v>1750</v>
      </c>
      <c r="J74" s="67">
        <f t="shared" si="100"/>
        <v>1750</v>
      </c>
      <c r="K74" s="67">
        <f t="shared" si="100"/>
        <v>1750</v>
      </c>
      <c r="L74" s="705">
        <v>7000</v>
      </c>
      <c r="N74" s="209" t="s">
        <v>4</v>
      </c>
      <c r="P74" s="195">
        <f>INDEX('Apportionment Bases'!AK$6:AK$33,MATCH('PC17'!$N74,'Apportionment Bases'!$A$6:$A$33,0))</f>
        <v>1</v>
      </c>
      <c r="Q74" s="195">
        <f>INDEX('Apportionment Bases'!AL$6:AL$33,MATCH('PC17'!$N74,'Apportionment Bases'!$A$6:$A$33,0))</f>
        <v>0</v>
      </c>
      <c r="R74" s="195">
        <f>INDEX('Apportionment Bases'!AM$6:AM$33,MATCH('PC17'!$N74,'Apportionment Bases'!$A$6:$A$33,0))</f>
        <v>0</v>
      </c>
      <c r="S74" s="195">
        <f>INDEX('Apportionment Bases'!AN$6:AN$33,MATCH('PC17'!$N74,'Apportionment Bases'!$A$6:$A$33,0))</f>
        <v>0</v>
      </c>
      <c r="T74" s="195">
        <f>INDEX('Apportionment Bases'!AO$6:AO$33,MATCH('PC17'!$N74,'Apportionment Bases'!$A$6:$A$33,0))</f>
        <v>0</v>
      </c>
      <c r="V74" s="72">
        <f t="shared" si="69"/>
        <v>7000</v>
      </c>
      <c r="W74" s="72">
        <f t="shared" si="70"/>
        <v>0</v>
      </c>
      <c r="X74" s="72">
        <f t="shared" si="97"/>
        <v>0</v>
      </c>
      <c r="Y74" s="72">
        <f t="shared" si="98"/>
        <v>0</v>
      </c>
      <c r="Z74" s="72">
        <f t="shared" si="99"/>
        <v>0</v>
      </c>
      <c r="AA74" s="272" t="str">
        <f t="shared" si="71"/>
        <v>TRUE</v>
      </c>
      <c r="AH74" s="301"/>
      <c r="AO74" s="72">
        <f t="shared" si="101"/>
        <v>4450.6000000000004</v>
      </c>
      <c r="AP74" s="72">
        <f t="shared" si="102"/>
        <v>0</v>
      </c>
      <c r="AQ74" s="72">
        <f t="shared" si="103"/>
        <v>0</v>
      </c>
      <c r="AR74" s="72">
        <f t="shared" si="104"/>
        <v>0</v>
      </c>
      <c r="AS74" s="72">
        <f t="shared" si="105"/>
        <v>0</v>
      </c>
      <c r="AT74" s="301"/>
      <c r="AU74" s="72">
        <f t="shared" si="106"/>
        <v>597.1</v>
      </c>
      <c r="AV74" s="72">
        <f t="shared" si="107"/>
        <v>0</v>
      </c>
      <c r="AW74" s="72">
        <f t="shared" si="108"/>
        <v>0</v>
      </c>
      <c r="AX74" s="72">
        <f t="shared" si="109"/>
        <v>0</v>
      </c>
      <c r="AY74" s="72">
        <f t="shared" si="110"/>
        <v>0</v>
      </c>
      <c r="AZ74" s="301"/>
      <c r="BG74" s="72">
        <f t="shared" si="111"/>
        <v>1036</v>
      </c>
      <c r="BH74" s="72">
        <f t="shared" si="112"/>
        <v>0</v>
      </c>
      <c r="BI74" s="72">
        <f t="shared" si="113"/>
        <v>0</v>
      </c>
      <c r="BJ74" s="72">
        <f t="shared" si="114"/>
        <v>0</v>
      </c>
      <c r="BK74" s="72">
        <f t="shared" si="115"/>
        <v>0</v>
      </c>
      <c r="BL74" s="301"/>
      <c r="CE74" s="72">
        <f t="shared" si="116"/>
        <v>25.900000000000002</v>
      </c>
      <c r="CF74" s="72">
        <f t="shared" si="117"/>
        <v>0</v>
      </c>
      <c r="CG74" s="72">
        <f t="shared" si="118"/>
        <v>0</v>
      </c>
      <c r="CH74" s="72">
        <f t="shared" si="119"/>
        <v>0</v>
      </c>
      <c r="CI74" s="72">
        <f t="shared" si="120"/>
        <v>0</v>
      </c>
      <c r="CJ74" s="301"/>
      <c r="CK74" s="72">
        <f t="shared" si="121"/>
        <v>890.40000000000009</v>
      </c>
      <c r="CL74" s="72">
        <f t="shared" si="122"/>
        <v>0</v>
      </c>
      <c r="CM74" s="72">
        <f t="shared" si="123"/>
        <v>0</v>
      </c>
      <c r="CN74" s="72">
        <f t="shared" si="124"/>
        <v>0</v>
      </c>
      <c r="CO74" s="72">
        <f t="shared" si="125"/>
        <v>0</v>
      </c>
      <c r="CP74" s="301"/>
    </row>
    <row r="75" spans="1:94" x14ac:dyDescent="0.25">
      <c r="A75" s="3" t="s">
        <v>246</v>
      </c>
      <c r="B75" s="3" t="s">
        <v>135</v>
      </c>
      <c r="C75" s="3" t="s">
        <v>47</v>
      </c>
      <c r="D75" s="3" t="s">
        <v>48</v>
      </c>
      <c r="E75" s="3" t="s">
        <v>48</v>
      </c>
      <c r="F75" s="3" t="s">
        <v>444</v>
      </c>
      <c r="G75" t="s">
        <v>136</v>
      </c>
      <c r="H75" s="67">
        <f t="shared" si="100"/>
        <v>47500</v>
      </c>
      <c r="I75" s="67">
        <f t="shared" si="100"/>
        <v>47500</v>
      </c>
      <c r="J75" s="67">
        <f t="shared" si="100"/>
        <v>47500</v>
      </c>
      <c r="K75" s="67">
        <f t="shared" si="100"/>
        <v>47500</v>
      </c>
      <c r="L75" s="705">
        <v>190000</v>
      </c>
      <c r="N75" s="209" t="s">
        <v>4</v>
      </c>
      <c r="P75" s="195">
        <f>INDEX('Apportionment Bases'!AK$6:AK$33,MATCH('PC17'!$N75,'Apportionment Bases'!$A$6:$A$33,0))</f>
        <v>1</v>
      </c>
      <c r="Q75" s="195">
        <f>INDEX('Apportionment Bases'!AL$6:AL$33,MATCH('PC17'!$N75,'Apportionment Bases'!$A$6:$A$33,0))</f>
        <v>0</v>
      </c>
      <c r="R75" s="195">
        <f>INDEX('Apportionment Bases'!AM$6:AM$33,MATCH('PC17'!$N75,'Apportionment Bases'!$A$6:$A$33,0))</f>
        <v>0</v>
      </c>
      <c r="S75" s="195">
        <f>INDEX('Apportionment Bases'!AN$6:AN$33,MATCH('PC17'!$N75,'Apportionment Bases'!$A$6:$A$33,0))</f>
        <v>0</v>
      </c>
      <c r="T75" s="195">
        <f>INDEX('Apportionment Bases'!AO$6:AO$33,MATCH('PC17'!$N75,'Apportionment Bases'!$A$6:$A$33,0))</f>
        <v>0</v>
      </c>
      <c r="V75" s="72">
        <f t="shared" si="69"/>
        <v>190000</v>
      </c>
      <c r="W75" s="72">
        <f t="shared" si="70"/>
        <v>0</v>
      </c>
      <c r="X75" s="72">
        <f t="shared" si="97"/>
        <v>0</v>
      </c>
      <c r="Y75" s="72">
        <f t="shared" si="98"/>
        <v>0</v>
      </c>
      <c r="Z75" s="72">
        <f t="shared" si="99"/>
        <v>0</v>
      </c>
      <c r="AA75" s="272" t="str">
        <f t="shared" si="71"/>
        <v>TRUE</v>
      </c>
      <c r="AH75" s="301"/>
      <c r="AO75" s="72">
        <f t="shared" si="101"/>
        <v>120802</v>
      </c>
      <c r="AP75" s="72">
        <f t="shared" si="102"/>
        <v>0</v>
      </c>
      <c r="AQ75" s="72">
        <f t="shared" si="103"/>
        <v>0</v>
      </c>
      <c r="AR75" s="72">
        <f t="shared" si="104"/>
        <v>0</v>
      </c>
      <c r="AS75" s="72">
        <f t="shared" si="105"/>
        <v>0</v>
      </c>
      <c r="AT75" s="301"/>
      <c r="AU75" s="72">
        <f t="shared" si="106"/>
        <v>16207</v>
      </c>
      <c r="AV75" s="72">
        <f t="shared" si="107"/>
        <v>0</v>
      </c>
      <c r="AW75" s="72">
        <f t="shared" si="108"/>
        <v>0</v>
      </c>
      <c r="AX75" s="72">
        <f t="shared" si="109"/>
        <v>0</v>
      </c>
      <c r="AY75" s="72">
        <f t="shared" si="110"/>
        <v>0</v>
      </c>
      <c r="AZ75" s="301"/>
      <c r="BG75" s="72">
        <f t="shared" si="111"/>
        <v>28120</v>
      </c>
      <c r="BH75" s="72">
        <f t="shared" si="112"/>
        <v>0</v>
      </c>
      <c r="BI75" s="72">
        <f t="shared" si="113"/>
        <v>0</v>
      </c>
      <c r="BJ75" s="72">
        <f t="shared" si="114"/>
        <v>0</v>
      </c>
      <c r="BK75" s="72">
        <f t="shared" si="115"/>
        <v>0</v>
      </c>
      <c r="BL75" s="301"/>
      <c r="CE75" s="72">
        <f t="shared" si="116"/>
        <v>703</v>
      </c>
      <c r="CF75" s="72">
        <f t="shared" si="117"/>
        <v>0</v>
      </c>
      <c r="CG75" s="72">
        <f t="shared" si="118"/>
        <v>0</v>
      </c>
      <c r="CH75" s="72">
        <f t="shared" si="119"/>
        <v>0</v>
      </c>
      <c r="CI75" s="72">
        <f t="shared" si="120"/>
        <v>0</v>
      </c>
      <c r="CJ75" s="301"/>
      <c r="CK75" s="72">
        <f t="shared" si="121"/>
        <v>24168</v>
      </c>
      <c r="CL75" s="72">
        <f t="shared" si="122"/>
        <v>0</v>
      </c>
      <c r="CM75" s="72">
        <f t="shared" si="123"/>
        <v>0</v>
      </c>
      <c r="CN75" s="72">
        <f t="shared" si="124"/>
        <v>0</v>
      </c>
      <c r="CO75" s="72">
        <f t="shared" si="125"/>
        <v>0</v>
      </c>
      <c r="CP75" s="301"/>
    </row>
    <row r="76" spans="1:94" x14ac:dyDescent="0.25">
      <c r="A76" s="3" t="s">
        <v>246</v>
      </c>
      <c r="B76" s="3" t="s">
        <v>137</v>
      </c>
      <c r="C76" s="3" t="s">
        <v>47</v>
      </c>
      <c r="D76" s="3" t="s">
        <v>48</v>
      </c>
      <c r="E76" s="3" t="s">
        <v>48</v>
      </c>
      <c r="F76" s="3" t="s">
        <v>445</v>
      </c>
      <c r="G76" t="s">
        <v>138</v>
      </c>
      <c r="H76" s="67">
        <f t="shared" si="100"/>
        <v>41250</v>
      </c>
      <c r="I76" s="67">
        <f t="shared" si="100"/>
        <v>41250</v>
      </c>
      <c r="J76" s="67">
        <f t="shared" si="100"/>
        <v>41250</v>
      </c>
      <c r="K76" s="67">
        <f t="shared" si="100"/>
        <v>41250</v>
      </c>
      <c r="L76" s="705">
        <v>165000</v>
      </c>
      <c r="N76" s="209" t="s">
        <v>3</v>
      </c>
      <c r="P76" s="195">
        <f>INDEX('Apportionment Bases'!AK$6:AK$33,MATCH('PC17'!$N76,'Apportionment Bases'!$A$6:$A$33,0))</f>
        <v>0</v>
      </c>
      <c r="Q76" s="195">
        <f>INDEX('Apportionment Bases'!AL$6:AL$33,MATCH('PC17'!$N76,'Apportionment Bases'!$A$6:$A$33,0))</f>
        <v>1</v>
      </c>
      <c r="R76" s="195">
        <f>INDEX('Apportionment Bases'!AM$6:AM$33,MATCH('PC17'!$N76,'Apportionment Bases'!$A$6:$A$33,0))</f>
        <v>0</v>
      </c>
      <c r="S76" s="195">
        <f>INDEX('Apportionment Bases'!AN$6:AN$33,MATCH('PC17'!$N76,'Apportionment Bases'!$A$6:$A$33,0))</f>
        <v>0</v>
      </c>
      <c r="T76" s="195">
        <f>INDEX('Apportionment Bases'!AO$6:AO$33,MATCH('PC17'!$N76,'Apportionment Bases'!$A$6:$A$33,0))</f>
        <v>0</v>
      </c>
      <c r="V76" s="72">
        <f t="shared" si="69"/>
        <v>0</v>
      </c>
      <c r="W76" s="72">
        <f t="shared" si="70"/>
        <v>165000</v>
      </c>
      <c r="X76" s="72">
        <f t="shared" si="97"/>
        <v>0</v>
      </c>
      <c r="Y76" s="72">
        <f t="shared" si="98"/>
        <v>0</v>
      </c>
      <c r="Z76" s="72">
        <f t="shared" si="99"/>
        <v>0</v>
      </c>
      <c r="AA76" s="272" t="str">
        <f t="shared" si="71"/>
        <v>TRUE</v>
      </c>
      <c r="AH76" s="301"/>
      <c r="AO76" s="72">
        <f t="shared" si="101"/>
        <v>0</v>
      </c>
      <c r="AP76" s="72">
        <f t="shared" si="102"/>
        <v>164245.44666088466</v>
      </c>
      <c r="AQ76" s="72">
        <f t="shared" si="103"/>
        <v>0</v>
      </c>
      <c r="AR76" s="72">
        <f t="shared" si="104"/>
        <v>0</v>
      </c>
      <c r="AS76" s="72">
        <f t="shared" si="105"/>
        <v>0</v>
      </c>
      <c r="AT76" s="301"/>
      <c r="AU76" s="72">
        <f t="shared" si="106"/>
        <v>0</v>
      </c>
      <c r="AV76" s="72">
        <f t="shared" si="107"/>
        <v>171.29228100607114</v>
      </c>
      <c r="AW76" s="72">
        <f t="shared" si="108"/>
        <v>0</v>
      </c>
      <c r="AX76" s="72">
        <f t="shared" si="109"/>
        <v>0</v>
      </c>
      <c r="AY76" s="72">
        <f t="shared" si="110"/>
        <v>0</v>
      </c>
      <c r="AZ76" s="301"/>
      <c r="BG76" s="72">
        <f t="shared" si="111"/>
        <v>0</v>
      </c>
      <c r="BH76" s="72">
        <f t="shared" si="112"/>
        <v>305.72419774501304</v>
      </c>
      <c r="BI76" s="72">
        <f t="shared" si="113"/>
        <v>0</v>
      </c>
      <c r="BJ76" s="72">
        <f t="shared" si="114"/>
        <v>0</v>
      </c>
      <c r="BK76" s="72">
        <f t="shared" si="115"/>
        <v>0</v>
      </c>
      <c r="BL76" s="301"/>
      <c r="CE76" s="72">
        <f t="shared" si="116"/>
        <v>0</v>
      </c>
      <c r="CF76" s="72">
        <f t="shared" si="117"/>
        <v>8.6730268863833491</v>
      </c>
      <c r="CG76" s="72">
        <f t="shared" si="118"/>
        <v>0</v>
      </c>
      <c r="CH76" s="72">
        <f t="shared" si="119"/>
        <v>0</v>
      </c>
      <c r="CI76" s="72">
        <f t="shared" si="120"/>
        <v>0</v>
      </c>
      <c r="CJ76" s="301"/>
      <c r="CK76" s="72">
        <f t="shared" si="121"/>
        <v>0</v>
      </c>
      <c r="CL76" s="72">
        <f t="shared" si="122"/>
        <v>268.86383347788376</v>
      </c>
      <c r="CM76" s="72">
        <f t="shared" si="123"/>
        <v>0</v>
      </c>
      <c r="CN76" s="72">
        <f t="shared" si="124"/>
        <v>0</v>
      </c>
      <c r="CO76" s="72">
        <f t="shared" si="125"/>
        <v>0</v>
      </c>
      <c r="CP76" s="301"/>
    </row>
    <row r="77" spans="1:94" x14ac:dyDescent="0.25">
      <c r="A77" s="3" t="s">
        <v>246</v>
      </c>
      <c r="B77" s="3" t="s">
        <v>139</v>
      </c>
      <c r="C77" s="3" t="s">
        <v>47</v>
      </c>
      <c r="D77" s="3" t="s">
        <v>48</v>
      </c>
      <c r="E77" s="3" t="s">
        <v>48</v>
      </c>
      <c r="F77" s="3" t="s">
        <v>446</v>
      </c>
      <c r="G77" t="s">
        <v>140</v>
      </c>
      <c r="H77" s="67">
        <f t="shared" si="100"/>
        <v>6250</v>
      </c>
      <c r="I77" s="67">
        <f t="shared" si="100"/>
        <v>6250</v>
      </c>
      <c r="J77" s="67">
        <f t="shared" si="100"/>
        <v>6250</v>
      </c>
      <c r="K77" s="67">
        <f t="shared" si="100"/>
        <v>6250</v>
      </c>
      <c r="L77" s="705">
        <v>25000</v>
      </c>
      <c r="N77" s="209" t="s">
        <v>705</v>
      </c>
      <c r="P77" s="195">
        <f>INDEX('Apportionment Bases'!AK$6:AK$33,MATCH('PC17'!$N77,'Apportionment Bases'!$A$6:$A$33,0))</f>
        <v>0</v>
      </c>
      <c r="Q77" s="195">
        <f>INDEX('Apportionment Bases'!AL$6:AL$33,MATCH('PC17'!$N77,'Apportionment Bases'!$A$6:$A$33,0))</f>
        <v>0</v>
      </c>
      <c r="R77" s="195">
        <f>INDEX('Apportionment Bases'!AM$6:AM$33,MATCH('PC17'!$N77,'Apportionment Bases'!$A$6:$A$33,0))</f>
        <v>0</v>
      </c>
      <c r="S77" s="195">
        <f>INDEX('Apportionment Bases'!AN$6:AN$33,MATCH('PC17'!$N77,'Apportionment Bases'!$A$6:$A$33,0))</f>
        <v>0.5</v>
      </c>
      <c r="T77" s="195">
        <f>INDEX('Apportionment Bases'!AO$6:AO$33,MATCH('PC17'!$N77,'Apportionment Bases'!$A$6:$A$33,0))</f>
        <v>0.5</v>
      </c>
      <c r="V77" s="72">
        <f t="shared" si="69"/>
        <v>0</v>
      </c>
      <c r="W77" s="72">
        <f t="shared" si="70"/>
        <v>0</v>
      </c>
      <c r="X77" s="72">
        <f t="shared" si="97"/>
        <v>0</v>
      </c>
      <c r="Y77" s="72">
        <f t="shared" si="98"/>
        <v>12500</v>
      </c>
      <c r="Z77" s="72">
        <f t="shared" si="99"/>
        <v>12500</v>
      </c>
      <c r="AA77" s="272" t="str">
        <f t="shared" si="71"/>
        <v>TRUE</v>
      </c>
      <c r="AH77" s="301"/>
      <c r="AO77" s="72">
        <f t="shared" si="101"/>
        <v>0</v>
      </c>
      <c r="AP77" s="72">
        <f t="shared" si="102"/>
        <v>0</v>
      </c>
      <c r="AQ77" s="72">
        <f t="shared" si="103"/>
        <v>0</v>
      </c>
      <c r="AR77" s="72">
        <f t="shared" si="104"/>
        <v>7352.4999999999991</v>
      </c>
      <c r="AS77" s="72">
        <f t="shared" si="105"/>
        <v>12500</v>
      </c>
      <c r="AT77" s="301"/>
      <c r="AU77" s="72">
        <f t="shared" si="106"/>
        <v>0</v>
      </c>
      <c r="AV77" s="72">
        <f t="shared" si="107"/>
        <v>0</v>
      </c>
      <c r="AW77" s="72">
        <f t="shared" si="108"/>
        <v>0</v>
      </c>
      <c r="AX77" s="72">
        <f t="shared" si="109"/>
        <v>1120</v>
      </c>
      <c r="AY77" s="72">
        <f t="shared" si="110"/>
        <v>0</v>
      </c>
      <c r="AZ77" s="301"/>
      <c r="BG77" s="72">
        <f t="shared" si="111"/>
        <v>0</v>
      </c>
      <c r="BH77" s="72">
        <f t="shared" si="112"/>
        <v>0</v>
      </c>
      <c r="BI77" s="72">
        <f t="shared" si="113"/>
        <v>0</v>
      </c>
      <c r="BJ77" s="72">
        <f t="shared" si="114"/>
        <v>2551.25</v>
      </c>
      <c r="BK77" s="72">
        <f t="shared" si="115"/>
        <v>0</v>
      </c>
      <c r="BL77" s="301"/>
      <c r="CE77" s="72">
        <f t="shared" si="116"/>
        <v>0</v>
      </c>
      <c r="CF77" s="72">
        <f t="shared" si="117"/>
        <v>0</v>
      </c>
      <c r="CG77" s="72">
        <f t="shared" si="118"/>
        <v>0</v>
      </c>
      <c r="CH77" s="72">
        <f t="shared" si="119"/>
        <v>73.75</v>
      </c>
      <c r="CI77" s="72">
        <f t="shared" si="120"/>
        <v>0</v>
      </c>
      <c r="CJ77" s="301"/>
      <c r="CK77" s="72">
        <f t="shared" si="121"/>
        <v>0</v>
      </c>
      <c r="CL77" s="72">
        <f t="shared" si="122"/>
        <v>0</v>
      </c>
      <c r="CM77" s="72">
        <f t="shared" si="123"/>
        <v>0</v>
      </c>
      <c r="CN77" s="72">
        <f t="shared" si="124"/>
        <v>1402.5</v>
      </c>
      <c r="CO77" s="72">
        <f t="shared" si="125"/>
        <v>0</v>
      </c>
      <c r="CP77" s="301"/>
    </row>
    <row r="78" spans="1:94" x14ac:dyDescent="0.25">
      <c r="A78" s="3" t="s">
        <v>246</v>
      </c>
      <c r="B78" s="3" t="s">
        <v>141</v>
      </c>
      <c r="C78" s="3" t="s">
        <v>47</v>
      </c>
      <c r="D78" s="3" t="s">
        <v>48</v>
      </c>
      <c r="E78" s="3" t="s">
        <v>48</v>
      </c>
      <c r="F78" s="3" t="s">
        <v>447</v>
      </c>
      <c r="G78" t="s">
        <v>142</v>
      </c>
      <c r="H78" s="67">
        <f t="shared" si="100"/>
        <v>62500</v>
      </c>
      <c r="I78" s="67">
        <f t="shared" si="100"/>
        <v>62500</v>
      </c>
      <c r="J78" s="67">
        <f t="shared" si="100"/>
        <v>62500</v>
      </c>
      <c r="K78" s="67">
        <f t="shared" si="100"/>
        <v>62500</v>
      </c>
      <c r="L78" s="705">
        <v>250000</v>
      </c>
      <c r="N78" s="209" t="s">
        <v>4</v>
      </c>
      <c r="P78" s="195">
        <f>INDEX('Apportionment Bases'!AK$6:AK$33,MATCH('PC17'!$N78,'Apportionment Bases'!$A$6:$A$33,0))</f>
        <v>1</v>
      </c>
      <c r="Q78" s="195">
        <f>INDEX('Apportionment Bases'!AL$6:AL$33,MATCH('PC17'!$N78,'Apportionment Bases'!$A$6:$A$33,0))</f>
        <v>0</v>
      </c>
      <c r="R78" s="195">
        <f>INDEX('Apportionment Bases'!AM$6:AM$33,MATCH('PC17'!$N78,'Apportionment Bases'!$A$6:$A$33,0))</f>
        <v>0</v>
      </c>
      <c r="S78" s="195">
        <f>INDEX('Apportionment Bases'!AN$6:AN$33,MATCH('PC17'!$N78,'Apportionment Bases'!$A$6:$A$33,0))</f>
        <v>0</v>
      </c>
      <c r="T78" s="195">
        <f>INDEX('Apportionment Bases'!AO$6:AO$33,MATCH('PC17'!$N78,'Apportionment Bases'!$A$6:$A$33,0))</f>
        <v>0</v>
      </c>
      <c r="V78" s="72">
        <f t="shared" si="69"/>
        <v>250000</v>
      </c>
      <c r="W78" s="72">
        <f t="shared" si="70"/>
        <v>0</v>
      </c>
      <c r="X78" s="72">
        <f t="shared" si="97"/>
        <v>0</v>
      </c>
      <c r="Y78" s="72">
        <f t="shared" si="98"/>
        <v>0</v>
      </c>
      <c r="Z78" s="72">
        <f t="shared" si="99"/>
        <v>0</v>
      </c>
      <c r="AA78" s="272" t="str">
        <f t="shared" si="71"/>
        <v>TRUE</v>
      </c>
      <c r="AH78" s="301"/>
      <c r="AO78" s="72">
        <f t="shared" si="101"/>
        <v>158950</v>
      </c>
      <c r="AP78" s="72">
        <f t="shared" si="102"/>
        <v>0</v>
      </c>
      <c r="AQ78" s="72">
        <f t="shared" si="103"/>
        <v>0</v>
      </c>
      <c r="AR78" s="72">
        <f t="shared" si="104"/>
        <v>0</v>
      </c>
      <c r="AS78" s="72">
        <f t="shared" si="105"/>
        <v>0</v>
      </c>
      <c r="AT78" s="301"/>
      <c r="AU78" s="72">
        <f t="shared" si="106"/>
        <v>21325</v>
      </c>
      <c r="AV78" s="72">
        <f t="shared" si="107"/>
        <v>0</v>
      </c>
      <c r="AW78" s="72">
        <f t="shared" si="108"/>
        <v>0</v>
      </c>
      <c r="AX78" s="72">
        <f t="shared" si="109"/>
        <v>0</v>
      </c>
      <c r="AY78" s="72">
        <f t="shared" si="110"/>
        <v>0</v>
      </c>
      <c r="AZ78" s="301"/>
      <c r="BG78" s="72">
        <f t="shared" si="111"/>
        <v>37000</v>
      </c>
      <c r="BH78" s="72">
        <f t="shared" si="112"/>
        <v>0</v>
      </c>
      <c r="BI78" s="72">
        <f t="shared" si="113"/>
        <v>0</v>
      </c>
      <c r="BJ78" s="72">
        <f t="shared" si="114"/>
        <v>0</v>
      </c>
      <c r="BK78" s="72">
        <f t="shared" si="115"/>
        <v>0</v>
      </c>
      <c r="BL78" s="301"/>
      <c r="CE78" s="72">
        <f t="shared" si="116"/>
        <v>925</v>
      </c>
      <c r="CF78" s="72">
        <f t="shared" si="117"/>
        <v>0</v>
      </c>
      <c r="CG78" s="72">
        <f t="shared" si="118"/>
        <v>0</v>
      </c>
      <c r="CH78" s="72">
        <f t="shared" si="119"/>
        <v>0</v>
      </c>
      <c r="CI78" s="72">
        <f t="shared" si="120"/>
        <v>0</v>
      </c>
      <c r="CJ78" s="301"/>
      <c r="CK78" s="72">
        <f t="shared" si="121"/>
        <v>31800.000000000004</v>
      </c>
      <c r="CL78" s="72">
        <f t="shared" si="122"/>
        <v>0</v>
      </c>
      <c r="CM78" s="72">
        <f t="shared" si="123"/>
        <v>0</v>
      </c>
      <c r="CN78" s="72">
        <f t="shared" si="124"/>
        <v>0</v>
      </c>
      <c r="CO78" s="72">
        <f t="shared" si="125"/>
        <v>0</v>
      </c>
      <c r="CP78" s="301"/>
    </row>
    <row r="79" spans="1:94" x14ac:dyDescent="0.25">
      <c r="A79" s="3" t="s">
        <v>246</v>
      </c>
      <c r="B79" s="3" t="s">
        <v>301</v>
      </c>
      <c r="C79" s="3" t="s">
        <v>47</v>
      </c>
      <c r="D79" s="3" t="s">
        <v>48</v>
      </c>
      <c r="E79" s="3" t="s">
        <v>48</v>
      </c>
      <c r="F79" s="3" t="s">
        <v>448</v>
      </c>
      <c r="G79" t="s">
        <v>302</v>
      </c>
      <c r="H79" s="67">
        <f t="shared" si="100"/>
        <v>8750</v>
      </c>
      <c r="I79" s="67">
        <f t="shared" si="100"/>
        <v>8750</v>
      </c>
      <c r="J79" s="67">
        <f t="shared" si="100"/>
        <v>8750</v>
      </c>
      <c r="K79" s="67">
        <f t="shared" si="100"/>
        <v>8750</v>
      </c>
      <c r="L79" s="705">
        <v>35000</v>
      </c>
      <c r="N79" s="209" t="s">
        <v>32</v>
      </c>
      <c r="P79" s="195">
        <f>INDEX('Apportionment Bases'!AK$6:AK$33,MATCH('PC17'!$N79,'Apportionment Bases'!$A$6:$A$33,0))</f>
        <v>0</v>
      </c>
      <c r="Q79" s="195">
        <f>INDEX('Apportionment Bases'!AL$6:AL$33,MATCH('PC17'!$N79,'Apportionment Bases'!$A$6:$A$33,0))</f>
        <v>0</v>
      </c>
      <c r="R79" s="195">
        <f>INDEX('Apportionment Bases'!AM$6:AM$33,MATCH('PC17'!$N79,'Apportionment Bases'!$A$6:$A$33,0))</f>
        <v>1</v>
      </c>
      <c r="S79" s="195">
        <f>INDEX('Apportionment Bases'!AN$6:AN$33,MATCH('PC17'!$N79,'Apportionment Bases'!$A$6:$A$33,0))</f>
        <v>0</v>
      </c>
      <c r="T79" s="195">
        <f>INDEX('Apportionment Bases'!AO$6:AO$33,MATCH('PC17'!$N79,'Apportionment Bases'!$A$6:$A$33,0))</f>
        <v>0</v>
      </c>
      <c r="V79" s="72">
        <f t="shared" si="69"/>
        <v>0</v>
      </c>
      <c r="W79" s="72">
        <f t="shared" si="70"/>
        <v>0</v>
      </c>
      <c r="X79" s="72">
        <f t="shared" si="97"/>
        <v>35000</v>
      </c>
      <c r="Y79" s="72">
        <f t="shared" si="98"/>
        <v>0</v>
      </c>
      <c r="Z79" s="72">
        <f t="shared" si="99"/>
        <v>0</v>
      </c>
      <c r="AA79" s="272" t="str">
        <f t="shared" si="71"/>
        <v>TRUE</v>
      </c>
      <c r="AH79" s="301"/>
      <c r="AO79" s="72">
        <f t="shared" si="101"/>
        <v>0</v>
      </c>
      <c r="AP79" s="72">
        <f t="shared" si="102"/>
        <v>0</v>
      </c>
      <c r="AQ79" s="72">
        <f t="shared" si="103"/>
        <v>35000</v>
      </c>
      <c r="AR79" s="72">
        <f t="shared" si="104"/>
        <v>0</v>
      </c>
      <c r="AS79" s="72">
        <f t="shared" si="105"/>
        <v>0</v>
      </c>
      <c r="AT79" s="301"/>
      <c r="AU79" s="72">
        <f t="shared" si="106"/>
        <v>0</v>
      </c>
      <c r="AV79" s="72">
        <f t="shared" si="107"/>
        <v>0</v>
      </c>
      <c r="AW79" s="72">
        <f t="shared" si="108"/>
        <v>0</v>
      </c>
      <c r="AX79" s="72">
        <f t="shared" si="109"/>
        <v>0</v>
      </c>
      <c r="AY79" s="72">
        <f t="shared" si="110"/>
        <v>0</v>
      </c>
      <c r="AZ79" s="301"/>
      <c r="BG79" s="72">
        <f t="shared" si="111"/>
        <v>0</v>
      </c>
      <c r="BH79" s="72">
        <f t="shared" si="112"/>
        <v>0</v>
      </c>
      <c r="BI79" s="72">
        <f t="shared" si="113"/>
        <v>0</v>
      </c>
      <c r="BJ79" s="72">
        <f t="shared" si="114"/>
        <v>0</v>
      </c>
      <c r="BK79" s="72">
        <f t="shared" si="115"/>
        <v>0</v>
      </c>
      <c r="BL79" s="301"/>
      <c r="CE79" s="72">
        <f t="shared" si="116"/>
        <v>0</v>
      </c>
      <c r="CF79" s="72">
        <f t="shared" si="117"/>
        <v>0</v>
      </c>
      <c r="CG79" s="72">
        <f t="shared" si="118"/>
        <v>0</v>
      </c>
      <c r="CH79" s="72">
        <f t="shared" si="119"/>
        <v>0</v>
      </c>
      <c r="CI79" s="72">
        <f t="shared" si="120"/>
        <v>0</v>
      </c>
      <c r="CJ79" s="301"/>
      <c r="CK79" s="72">
        <f t="shared" si="121"/>
        <v>0</v>
      </c>
      <c r="CL79" s="72">
        <f t="shared" si="122"/>
        <v>0</v>
      </c>
      <c r="CM79" s="72">
        <f t="shared" si="123"/>
        <v>0</v>
      </c>
      <c r="CN79" s="72">
        <f t="shared" si="124"/>
        <v>0</v>
      </c>
      <c r="CO79" s="72">
        <f t="shared" si="125"/>
        <v>0</v>
      </c>
      <c r="CP79" s="301"/>
    </row>
    <row r="80" spans="1:94" x14ac:dyDescent="0.25">
      <c r="A80" s="3" t="s">
        <v>246</v>
      </c>
      <c r="B80" s="3" t="s">
        <v>143</v>
      </c>
      <c r="C80" s="3" t="s">
        <v>47</v>
      </c>
      <c r="D80" s="3" t="s">
        <v>48</v>
      </c>
      <c r="E80" s="3" t="s">
        <v>48</v>
      </c>
      <c r="F80" s="3" t="s">
        <v>449</v>
      </c>
      <c r="G80" t="s">
        <v>144</v>
      </c>
      <c r="H80" s="67">
        <f t="shared" si="100"/>
        <v>750</v>
      </c>
      <c r="I80" s="67">
        <f t="shared" si="100"/>
        <v>750</v>
      </c>
      <c r="J80" s="67">
        <f t="shared" si="100"/>
        <v>750</v>
      </c>
      <c r="K80" s="67">
        <f t="shared" si="100"/>
        <v>750</v>
      </c>
      <c r="L80" s="705">
        <v>3000</v>
      </c>
      <c r="N80" s="209" t="s">
        <v>705</v>
      </c>
      <c r="P80" s="195">
        <f>INDEX('Apportionment Bases'!AK$6:AK$33,MATCH('PC17'!$N80,'Apportionment Bases'!$A$6:$A$33,0))</f>
        <v>0</v>
      </c>
      <c r="Q80" s="195">
        <f>INDEX('Apportionment Bases'!AL$6:AL$33,MATCH('PC17'!$N80,'Apportionment Bases'!$A$6:$A$33,0))</f>
        <v>0</v>
      </c>
      <c r="R80" s="195">
        <f>INDEX('Apportionment Bases'!AM$6:AM$33,MATCH('PC17'!$N80,'Apportionment Bases'!$A$6:$A$33,0))</f>
        <v>0</v>
      </c>
      <c r="S80" s="195">
        <f>INDEX('Apportionment Bases'!AN$6:AN$33,MATCH('PC17'!$N80,'Apportionment Bases'!$A$6:$A$33,0))</f>
        <v>0.5</v>
      </c>
      <c r="T80" s="195">
        <f>INDEX('Apportionment Bases'!AO$6:AO$33,MATCH('PC17'!$N80,'Apportionment Bases'!$A$6:$A$33,0))</f>
        <v>0.5</v>
      </c>
      <c r="V80" s="72">
        <f t="shared" si="69"/>
        <v>0</v>
      </c>
      <c r="W80" s="72">
        <f t="shared" si="70"/>
        <v>0</v>
      </c>
      <c r="X80" s="72">
        <f t="shared" si="97"/>
        <v>0</v>
      </c>
      <c r="Y80" s="72">
        <f t="shared" si="98"/>
        <v>1500</v>
      </c>
      <c r="Z80" s="72">
        <f t="shared" si="99"/>
        <v>1500</v>
      </c>
      <c r="AA80" s="272" t="str">
        <f t="shared" si="71"/>
        <v>TRUE</v>
      </c>
      <c r="AH80" s="301"/>
      <c r="AO80" s="72">
        <f t="shared" si="101"/>
        <v>0</v>
      </c>
      <c r="AP80" s="72">
        <f t="shared" si="102"/>
        <v>0</v>
      </c>
      <c r="AQ80" s="72">
        <f t="shared" si="103"/>
        <v>0</v>
      </c>
      <c r="AR80" s="72">
        <f t="shared" si="104"/>
        <v>882.3</v>
      </c>
      <c r="AS80" s="72">
        <f t="shared" si="105"/>
        <v>1500</v>
      </c>
      <c r="AT80" s="301"/>
      <c r="AU80" s="72">
        <f t="shared" si="106"/>
        <v>0</v>
      </c>
      <c r="AV80" s="72">
        <f t="shared" si="107"/>
        <v>0</v>
      </c>
      <c r="AW80" s="72">
        <f t="shared" si="108"/>
        <v>0</v>
      </c>
      <c r="AX80" s="72">
        <f t="shared" si="109"/>
        <v>134.4</v>
      </c>
      <c r="AY80" s="72">
        <f t="shared" si="110"/>
        <v>0</v>
      </c>
      <c r="AZ80" s="301"/>
      <c r="BG80" s="72">
        <f t="shared" si="111"/>
        <v>0</v>
      </c>
      <c r="BH80" s="72">
        <f t="shared" si="112"/>
        <v>0</v>
      </c>
      <c r="BI80" s="72">
        <f t="shared" si="113"/>
        <v>0</v>
      </c>
      <c r="BJ80" s="72">
        <f t="shared" si="114"/>
        <v>306.14999999999998</v>
      </c>
      <c r="BK80" s="72">
        <f t="shared" si="115"/>
        <v>0</v>
      </c>
      <c r="BL80" s="301"/>
      <c r="CE80" s="72">
        <f t="shared" si="116"/>
        <v>0</v>
      </c>
      <c r="CF80" s="72">
        <f t="shared" si="117"/>
        <v>0</v>
      </c>
      <c r="CG80" s="72">
        <f t="shared" si="118"/>
        <v>0</v>
      </c>
      <c r="CH80" s="72">
        <f t="shared" si="119"/>
        <v>8.85</v>
      </c>
      <c r="CI80" s="72">
        <f t="shared" si="120"/>
        <v>0</v>
      </c>
      <c r="CJ80" s="301"/>
      <c r="CK80" s="72">
        <f t="shared" si="121"/>
        <v>0</v>
      </c>
      <c r="CL80" s="72">
        <f t="shared" si="122"/>
        <v>0</v>
      </c>
      <c r="CM80" s="72">
        <f t="shared" si="123"/>
        <v>0</v>
      </c>
      <c r="CN80" s="72">
        <f t="shared" si="124"/>
        <v>168.29999999999998</v>
      </c>
      <c r="CO80" s="72">
        <f t="shared" si="125"/>
        <v>0</v>
      </c>
      <c r="CP80" s="301"/>
    </row>
    <row r="81" spans="1:94" x14ac:dyDescent="0.25">
      <c r="A81" s="3" t="s">
        <v>246</v>
      </c>
      <c r="B81" s="3" t="s">
        <v>143</v>
      </c>
      <c r="C81" s="3" t="s">
        <v>45</v>
      </c>
      <c r="D81" s="3" t="s">
        <v>48</v>
      </c>
      <c r="E81" s="3" t="s">
        <v>48</v>
      </c>
      <c r="F81" s="3" t="s">
        <v>450</v>
      </c>
      <c r="G81" t="s">
        <v>144</v>
      </c>
      <c r="H81" s="67">
        <f t="shared" si="100"/>
        <v>0</v>
      </c>
      <c r="I81" s="67">
        <f t="shared" si="100"/>
        <v>0</v>
      </c>
      <c r="J81" s="67">
        <f t="shared" si="100"/>
        <v>0</v>
      </c>
      <c r="K81" s="67">
        <f t="shared" si="100"/>
        <v>0</v>
      </c>
      <c r="L81" s="705">
        <v>0</v>
      </c>
      <c r="N81" s="209" t="s">
        <v>705</v>
      </c>
      <c r="P81" s="195">
        <f>INDEX('Apportionment Bases'!AK$6:AK$33,MATCH('PC17'!$N81,'Apportionment Bases'!$A$6:$A$33,0))</f>
        <v>0</v>
      </c>
      <c r="Q81" s="195">
        <f>INDEX('Apportionment Bases'!AL$6:AL$33,MATCH('PC17'!$N81,'Apportionment Bases'!$A$6:$A$33,0))</f>
        <v>0</v>
      </c>
      <c r="R81" s="195">
        <f>INDEX('Apportionment Bases'!AM$6:AM$33,MATCH('PC17'!$N81,'Apportionment Bases'!$A$6:$A$33,0))</f>
        <v>0</v>
      </c>
      <c r="S81" s="195">
        <f>INDEX('Apportionment Bases'!AN$6:AN$33,MATCH('PC17'!$N81,'Apportionment Bases'!$A$6:$A$33,0))</f>
        <v>0.5</v>
      </c>
      <c r="T81" s="195">
        <f>INDEX('Apportionment Bases'!AO$6:AO$33,MATCH('PC17'!$N81,'Apportionment Bases'!$A$6:$A$33,0))</f>
        <v>0.5</v>
      </c>
      <c r="V81" s="72">
        <f t="shared" si="69"/>
        <v>0</v>
      </c>
      <c r="W81" s="72">
        <f t="shared" si="70"/>
        <v>0</v>
      </c>
      <c r="X81" s="72">
        <f t="shared" si="97"/>
        <v>0</v>
      </c>
      <c r="Y81" s="72">
        <f t="shared" si="98"/>
        <v>0</v>
      </c>
      <c r="Z81" s="72">
        <f t="shared" si="99"/>
        <v>0</v>
      </c>
      <c r="AA81" s="272" t="str">
        <f t="shared" si="71"/>
        <v>TRUE</v>
      </c>
      <c r="AH81" s="301"/>
      <c r="AO81" s="72">
        <f t="shared" si="101"/>
        <v>0</v>
      </c>
      <c r="AP81" s="72">
        <f t="shared" si="102"/>
        <v>0</v>
      </c>
      <c r="AQ81" s="72">
        <f t="shared" si="103"/>
        <v>0</v>
      </c>
      <c r="AR81" s="72">
        <f t="shared" si="104"/>
        <v>0</v>
      </c>
      <c r="AS81" s="72">
        <f t="shared" si="105"/>
        <v>0</v>
      </c>
      <c r="AT81" s="301"/>
      <c r="AU81" s="72">
        <f t="shared" si="106"/>
        <v>0</v>
      </c>
      <c r="AV81" s="72">
        <f t="shared" si="107"/>
        <v>0</v>
      </c>
      <c r="AW81" s="72">
        <f t="shared" si="108"/>
        <v>0</v>
      </c>
      <c r="AX81" s="72">
        <f t="shared" si="109"/>
        <v>0</v>
      </c>
      <c r="AY81" s="72">
        <f t="shared" si="110"/>
        <v>0</v>
      </c>
      <c r="AZ81" s="301"/>
      <c r="BG81" s="72">
        <f t="shared" si="111"/>
        <v>0</v>
      </c>
      <c r="BH81" s="72">
        <f t="shared" si="112"/>
        <v>0</v>
      </c>
      <c r="BI81" s="72">
        <f t="shared" si="113"/>
        <v>0</v>
      </c>
      <c r="BJ81" s="72">
        <f t="shared" si="114"/>
        <v>0</v>
      </c>
      <c r="BK81" s="72">
        <f t="shared" si="115"/>
        <v>0</v>
      </c>
      <c r="BL81" s="301"/>
      <c r="CE81" s="72">
        <f t="shared" si="116"/>
        <v>0</v>
      </c>
      <c r="CF81" s="72">
        <f t="shared" si="117"/>
        <v>0</v>
      </c>
      <c r="CG81" s="72">
        <f t="shared" si="118"/>
        <v>0</v>
      </c>
      <c r="CH81" s="72">
        <f t="shared" si="119"/>
        <v>0</v>
      </c>
      <c r="CI81" s="72">
        <f t="shared" si="120"/>
        <v>0</v>
      </c>
      <c r="CJ81" s="301"/>
      <c r="CK81" s="72">
        <f t="shared" si="121"/>
        <v>0</v>
      </c>
      <c r="CL81" s="72">
        <f t="shared" si="122"/>
        <v>0</v>
      </c>
      <c r="CM81" s="72">
        <f t="shared" si="123"/>
        <v>0</v>
      </c>
      <c r="CN81" s="72">
        <f t="shared" si="124"/>
        <v>0</v>
      </c>
      <c r="CO81" s="72">
        <f t="shared" si="125"/>
        <v>0</v>
      </c>
      <c r="CP81" s="301"/>
    </row>
    <row r="82" spans="1:94" x14ac:dyDescent="0.25">
      <c r="A82" s="3" t="s">
        <v>246</v>
      </c>
      <c r="B82" s="3" t="s">
        <v>384</v>
      </c>
      <c r="C82" s="3" t="s">
        <v>45</v>
      </c>
      <c r="D82" s="3" t="s">
        <v>48</v>
      </c>
      <c r="E82" s="3" t="s">
        <v>48</v>
      </c>
      <c r="F82" s="3" t="s">
        <v>451</v>
      </c>
      <c r="G82" t="s">
        <v>378</v>
      </c>
      <c r="H82" s="67">
        <f t="shared" si="100"/>
        <v>5999</v>
      </c>
      <c r="I82" s="67">
        <f t="shared" si="100"/>
        <v>5999</v>
      </c>
      <c r="J82" s="67">
        <f t="shared" si="100"/>
        <v>5999</v>
      </c>
      <c r="K82" s="67">
        <f t="shared" si="100"/>
        <v>5999</v>
      </c>
      <c r="L82" s="705">
        <v>23996</v>
      </c>
      <c r="N82" s="209" t="s">
        <v>32</v>
      </c>
      <c r="P82" s="195">
        <f>INDEX('Apportionment Bases'!AK$6:AK$33,MATCH('PC17'!$N82,'Apportionment Bases'!$A$6:$A$33,0))</f>
        <v>0</v>
      </c>
      <c r="Q82" s="195">
        <f>INDEX('Apportionment Bases'!AL$6:AL$33,MATCH('PC17'!$N82,'Apportionment Bases'!$A$6:$A$33,0))</f>
        <v>0</v>
      </c>
      <c r="R82" s="195">
        <f>INDEX('Apportionment Bases'!AM$6:AM$33,MATCH('PC17'!$N82,'Apportionment Bases'!$A$6:$A$33,0))</f>
        <v>1</v>
      </c>
      <c r="S82" s="195">
        <f>INDEX('Apportionment Bases'!AN$6:AN$33,MATCH('PC17'!$N82,'Apportionment Bases'!$A$6:$A$33,0))</f>
        <v>0</v>
      </c>
      <c r="T82" s="195">
        <f>INDEX('Apportionment Bases'!AO$6:AO$33,MATCH('PC17'!$N82,'Apportionment Bases'!$A$6:$A$33,0))</f>
        <v>0</v>
      </c>
      <c r="V82" s="72">
        <f t="shared" si="69"/>
        <v>0</v>
      </c>
      <c r="W82" s="72">
        <f t="shared" si="70"/>
        <v>0</v>
      </c>
      <c r="X82" s="72">
        <f t="shared" si="97"/>
        <v>23996</v>
      </c>
      <c r="Y82" s="72">
        <f t="shared" si="98"/>
        <v>0</v>
      </c>
      <c r="Z82" s="72">
        <f t="shared" si="99"/>
        <v>0</v>
      </c>
      <c r="AA82" s="272" t="str">
        <f t="shared" si="71"/>
        <v>TRUE</v>
      </c>
      <c r="AH82" s="301"/>
      <c r="AO82" s="72">
        <f t="shared" si="101"/>
        <v>0</v>
      </c>
      <c r="AP82" s="72">
        <f t="shared" si="102"/>
        <v>0</v>
      </c>
      <c r="AQ82" s="72">
        <f t="shared" si="103"/>
        <v>23996</v>
      </c>
      <c r="AR82" s="72">
        <f t="shared" si="104"/>
        <v>0</v>
      </c>
      <c r="AS82" s="72">
        <f t="shared" si="105"/>
        <v>0</v>
      </c>
      <c r="AT82" s="301"/>
      <c r="AU82" s="72">
        <f t="shared" si="106"/>
        <v>0</v>
      </c>
      <c r="AV82" s="72">
        <f t="shared" si="107"/>
        <v>0</v>
      </c>
      <c r="AW82" s="72">
        <f t="shared" si="108"/>
        <v>0</v>
      </c>
      <c r="AX82" s="72">
        <f t="shared" si="109"/>
        <v>0</v>
      </c>
      <c r="AY82" s="72">
        <f t="shared" si="110"/>
        <v>0</v>
      </c>
      <c r="AZ82" s="301"/>
      <c r="BG82" s="72">
        <f t="shared" si="111"/>
        <v>0</v>
      </c>
      <c r="BH82" s="72">
        <f t="shared" si="112"/>
        <v>0</v>
      </c>
      <c r="BI82" s="72">
        <f t="shared" si="113"/>
        <v>0</v>
      </c>
      <c r="BJ82" s="72">
        <f t="shared" si="114"/>
        <v>0</v>
      </c>
      <c r="BK82" s="72">
        <f t="shared" si="115"/>
        <v>0</v>
      </c>
      <c r="BL82" s="301"/>
      <c r="CE82" s="72">
        <f t="shared" si="116"/>
        <v>0</v>
      </c>
      <c r="CF82" s="72">
        <f t="shared" si="117"/>
        <v>0</v>
      </c>
      <c r="CG82" s="72">
        <f t="shared" si="118"/>
        <v>0</v>
      </c>
      <c r="CH82" s="72">
        <f t="shared" si="119"/>
        <v>0</v>
      </c>
      <c r="CI82" s="72">
        <f t="shared" si="120"/>
        <v>0</v>
      </c>
      <c r="CJ82" s="301"/>
      <c r="CK82" s="72">
        <f t="shared" si="121"/>
        <v>0</v>
      </c>
      <c r="CL82" s="72">
        <f t="shared" si="122"/>
        <v>0</v>
      </c>
      <c r="CM82" s="72">
        <f t="shared" si="123"/>
        <v>0</v>
      </c>
      <c r="CN82" s="72">
        <f t="shared" si="124"/>
        <v>0</v>
      </c>
      <c r="CO82" s="72">
        <f t="shared" si="125"/>
        <v>0</v>
      </c>
      <c r="CP82" s="301"/>
    </row>
    <row r="83" spans="1:94" x14ac:dyDescent="0.25">
      <c r="A83" s="3" t="s">
        <v>246</v>
      </c>
      <c r="B83" s="3" t="s">
        <v>145</v>
      </c>
      <c r="C83" s="3" t="s">
        <v>47</v>
      </c>
      <c r="D83" s="3" t="s">
        <v>85</v>
      </c>
      <c r="E83" s="3" t="s">
        <v>48</v>
      </c>
      <c r="F83" s="3" t="s">
        <v>452</v>
      </c>
      <c r="G83" t="s">
        <v>146</v>
      </c>
      <c r="H83" s="67">
        <f t="shared" si="100"/>
        <v>0</v>
      </c>
      <c r="I83" s="67">
        <f t="shared" si="100"/>
        <v>0</v>
      </c>
      <c r="J83" s="67">
        <f t="shared" si="100"/>
        <v>0</v>
      </c>
      <c r="K83" s="67">
        <f t="shared" si="100"/>
        <v>0</v>
      </c>
      <c r="L83" s="705">
        <v>0</v>
      </c>
      <c r="N83" s="209" t="s">
        <v>705</v>
      </c>
      <c r="P83" s="195">
        <f>INDEX('Apportionment Bases'!AK$6:AK$33,MATCH('PC17'!$N83,'Apportionment Bases'!$A$6:$A$33,0))</f>
        <v>0</v>
      </c>
      <c r="Q83" s="195">
        <f>INDEX('Apportionment Bases'!AL$6:AL$33,MATCH('PC17'!$N83,'Apportionment Bases'!$A$6:$A$33,0))</f>
        <v>0</v>
      </c>
      <c r="R83" s="195">
        <f>INDEX('Apportionment Bases'!AM$6:AM$33,MATCH('PC17'!$N83,'Apportionment Bases'!$A$6:$A$33,0))</f>
        <v>0</v>
      </c>
      <c r="S83" s="195">
        <f>INDEX('Apportionment Bases'!AN$6:AN$33,MATCH('PC17'!$N83,'Apportionment Bases'!$A$6:$A$33,0))</f>
        <v>0.5</v>
      </c>
      <c r="T83" s="195">
        <f>INDEX('Apportionment Bases'!AO$6:AO$33,MATCH('PC17'!$N83,'Apportionment Bases'!$A$6:$A$33,0))</f>
        <v>0.5</v>
      </c>
      <c r="V83" s="72">
        <f t="shared" si="69"/>
        <v>0</v>
      </c>
      <c r="W83" s="72">
        <f t="shared" si="70"/>
        <v>0</v>
      </c>
      <c r="X83" s="72">
        <f t="shared" si="97"/>
        <v>0</v>
      </c>
      <c r="Y83" s="72">
        <f t="shared" si="98"/>
        <v>0</v>
      </c>
      <c r="Z83" s="72">
        <f t="shared" si="99"/>
        <v>0</v>
      </c>
      <c r="AA83" s="272" t="str">
        <f t="shared" si="71"/>
        <v>TRUE</v>
      </c>
      <c r="AH83" s="301"/>
      <c r="AO83" s="72">
        <f t="shared" si="101"/>
        <v>0</v>
      </c>
      <c r="AP83" s="72">
        <f t="shared" si="102"/>
        <v>0</v>
      </c>
      <c r="AQ83" s="72">
        <f t="shared" si="103"/>
        <v>0</v>
      </c>
      <c r="AR83" s="72">
        <f t="shared" si="104"/>
        <v>0</v>
      </c>
      <c r="AS83" s="72">
        <f t="shared" si="105"/>
        <v>0</v>
      </c>
      <c r="AT83" s="301"/>
      <c r="AU83" s="72">
        <f t="shared" si="106"/>
        <v>0</v>
      </c>
      <c r="AV83" s="72">
        <f t="shared" si="107"/>
        <v>0</v>
      </c>
      <c r="AW83" s="72">
        <f t="shared" si="108"/>
        <v>0</v>
      </c>
      <c r="AX83" s="72">
        <f t="shared" si="109"/>
        <v>0</v>
      </c>
      <c r="AY83" s="72">
        <f t="shared" si="110"/>
        <v>0</v>
      </c>
      <c r="AZ83" s="301"/>
      <c r="BG83" s="72">
        <f t="shared" si="111"/>
        <v>0</v>
      </c>
      <c r="BH83" s="72">
        <f t="shared" si="112"/>
        <v>0</v>
      </c>
      <c r="BI83" s="72">
        <f t="shared" si="113"/>
        <v>0</v>
      </c>
      <c r="BJ83" s="72">
        <f t="shared" si="114"/>
        <v>0</v>
      </c>
      <c r="BK83" s="72">
        <f t="shared" si="115"/>
        <v>0</v>
      </c>
      <c r="BL83" s="301"/>
      <c r="CE83" s="72">
        <f t="shared" si="116"/>
        <v>0</v>
      </c>
      <c r="CF83" s="72">
        <f t="shared" si="117"/>
        <v>0</v>
      </c>
      <c r="CG83" s="72">
        <f t="shared" si="118"/>
        <v>0</v>
      </c>
      <c r="CH83" s="72">
        <f t="shared" si="119"/>
        <v>0</v>
      </c>
      <c r="CI83" s="72">
        <f t="shared" si="120"/>
        <v>0</v>
      </c>
      <c r="CJ83" s="301"/>
      <c r="CK83" s="72">
        <f t="shared" si="121"/>
        <v>0</v>
      </c>
      <c r="CL83" s="72">
        <f t="shared" si="122"/>
        <v>0</v>
      </c>
      <c r="CM83" s="72">
        <f t="shared" si="123"/>
        <v>0</v>
      </c>
      <c r="CN83" s="72">
        <f t="shared" si="124"/>
        <v>0</v>
      </c>
      <c r="CO83" s="72">
        <f t="shared" si="125"/>
        <v>0</v>
      </c>
      <c r="CP83" s="301"/>
    </row>
    <row r="84" spans="1:94" x14ac:dyDescent="0.25">
      <c r="A84" s="3" t="s">
        <v>246</v>
      </c>
      <c r="B84" s="3" t="s">
        <v>147</v>
      </c>
      <c r="C84" s="3" t="s">
        <v>47</v>
      </c>
      <c r="D84" s="3" t="s">
        <v>48</v>
      </c>
      <c r="E84" s="3" t="s">
        <v>48</v>
      </c>
      <c r="F84" s="3" t="s">
        <v>453</v>
      </c>
      <c r="G84" t="s">
        <v>148</v>
      </c>
      <c r="H84" s="67">
        <f t="shared" si="100"/>
        <v>0</v>
      </c>
      <c r="I84" s="67">
        <f t="shared" si="100"/>
        <v>0</v>
      </c>
      <c r="J84" s="67">
        <f t="shared" si="100"/>
        <v>0</v>
      </c>
      <c r="K84" s="67">
        <f t="shared" si="100"/>
        <v>0</v>
      </c>
      <c r="L84" s="705">
        <v>0</v>
      </c>
      <c r="N84" s="209" t="s">
        <v>705</v>
      </c>
      <c r="P84" s="195">
        <f>INDEX('Apportionment Bases'!AK$6:AK$33,MATCH('PC17'!$N84,'Apportionment Bases'!$A$6:$A$33,0))</f>
        <v>0</v>
      </c>
      <c r="Q84" s="195">
        <f>INDEX('Apportionment Bases'!AL$6:AL$33,MATCH('PC17'!$N84,'Apportionment Bases'!$A$6:$A$33,0))</f>
        <v>0</v>
      </c>
      <c r="R84" s="195">
        <f>INDEX('Apportionment Bases'!AM$6:AM$33,MATCH('PC17'!$N84,'Apportionment Bases'!$A$6:$A$33,0))</f>
        <v>0</v>
      </c>
      <c r="S84" s="195">
        <f>INDEX('Apportionment Bases'!AN$6:AN$33,MATCH('PC17'!$N84,'Apportionment Bases'!$A$6:$A$33,0))</f>
        <v>0.5</v>
      </c>
      <c r="T84" s="195">
        <f>INDEX('Apportionment Bases'!AO$6:AO$33,MATCH('PC17'!$N84,'Apportionment Bases'!$A$6:$A$33,0))</f>
        <v>0.5</v>
      </c>
      <c r="V84" s="72">
        <f t="shared" si="69"/>
        <v>0</v>
      </c>
      <c r="W84" s="72">
        <f t="shared" si="70"/>
        <v>0</v>
      </c>
      <c r="X84" s="72">
        <f t="shared" si="97"/>
        <v>0</v>
      </c>
      <c r="Y84" s="72">
        <f t="shared" si="98"/>
        <v>0</v>
      </c>
      <c r="Z84" s="72">
        <f t="shared" si="99"/>
        <v>0</v>
      </c>
      <c r="AA84" s="272" t="str">
        <f t="shared" si="71"/>
        <v>TRUE</v>
      </c>
      <c r="AH84" s="301"/>
      <c r="AO84" s="72">
        <f t="shared" si="101"/>
        <v>0</v>
      </c>
      <c r="AP84" s="72">
        <f t="shared" si="102"/>
        <v>0</v>
      </c>
      <c r="AQ84" s="72">
        <f t="shared" si="103"/>
        <v>0</v>
      </c>
      <c r="AR84" s="72">
        <f t="shared" si="104"/>
        <v>0</v>
      </c>
      <c r="AS84" s="72">
        <f t="shared" si="105"/>
        <v>0</v>
      </c>
      <c r="AT84" s="301"/>
      <c r="AU84" s="72">
        <f t="shared" si="106"/>
        <v>0</v>
      </c>
      <c r="AV84" s="72">
        <f t="shared" si="107"/>
        <v>0</v>
      </c>
      <c r="AW84" s="72">
        <f t="shared" si="108"/>
        <v>0</v>
      </c>
      <c r="AX84" s="72">
        <f t="shared" si="109"/>
        <v>0</v>
      </c>
      <c r="AY84" s="72">
        <f t="shared" si="110"/>
        <v>0</v>
      </c>
      <c r="AZ84" s="301"/>
      <c r="BG84" s="72">
        <f t="shared" si="111"/>
        <v>0</v>
      </c>
      <c r="BH84" s="72">
        <f t="shared" si="112"/>
        <v>0</v>
      </c>
      <c r="BI84" s="72">
        <f t="shared" si="113"/>
        <v>0</v>
      </c>
      <c r="BJ84" s="72">
        <f t="shared" si="114"/>
        <v>0</v>
      </c>
      <c r="BK84" s="72">
        <f t="shared" si="115"/>
        <v>0</v>
      </c>
      <c r="BL84" s="301"/>
      <c r="CE84" s="72">
        <f t="shared" si="116"/>
        <v>0</v>
      </c>
      <c r="CF84" s="72">
        <f t="shared" si="117"/>
        <v>0</v>
      </c>
      <c r="CG84" s="72">
        <f t="shared" si="118"/>
        <v>0</v>
      </c>
      <c r="CH84" s="72">
        <f t="shared" si="119"/>
        <v>0</v>
      </c>
      <c r="CI84" s="72">
        <f t="shared" si="120"/>
        <v>0</v>
      </c>
      <c r="CJ84" s="301"/>
      <c r="CK84" s="72">
        <f t="shared" si="121"/>
        <v>0</v>
      </c>
      <c r="CL84" s="72">
        <f t="shared" si="122"/>
        <v>0</v>
      </c>
      <c r="CM84" s="72">
        <f t="shared" si="123"/>
        <v>0</v>
      </c>
      <c r="CN84" s="72">
        <f t="shared" si="124"/>
        <v>0</v>
      </c>
      <c r="CO84" s="72">
        <f t="shared" si="125"/>
        <v>0</v>
      </c>
      <c r="CP84" s="301"/>
    </row>
    <row r="85" spans="1:94" x14ac:dyDescent="0.25">
      <c r="A85" s="149" t="s">
        <v>246</v>
      </c>
      <c r="B85" s="149" t="s">
        <v>385</v>
      </c>
      <c r="C85" s="149" t="s">
        <v>47</v>
      </c>
      <c r="D85" s="149" t="s">
        <v>48</v>
      </c>
      <c r="E85" s="149" t="s">
        <v>48</v>
      </c>
      <c r="F85" s="149" t="s">
        <v>455</v>
      </c>
      <c r="G85" s="150" t="s">
        <v>386</v>
      </c>
      <c r="H85" s="151">
        <f t="shared" si="100"/>
        <v>62500</v>
      </c>
      <c r="I85" s="151">
        <f t="shared" si="100"/>
        <v>62500</v>
      </c>
      <c r="J85" s="151">
        <f t="shared" si="100"/>
        <v>62500</v>
      </c>
      <c r="K85" s="151">
        <f t="shared" si="100"/>
        <v>62500</v>
      </c>
      <c r="L85" s="712">
        <v>250000</v>
      </c>
      <c r="M85" s="46"/>
      <c r="N85" s="209" t="s">
        <v>479</v>
      </c>
      <c r="O85" s="46"/>
      <c r="P85" s="195">
        <f>INDEX('Apportionment Bases'!AK$6:AK$33,MATCH('PC17'!$N85,'Apportionment Bases'!$A$6:$A$33,0))</f>
        <v>0.48</v>
      </c>
      <c r="Q85" s="195">
        <f>INDEX('Apportionment Bases'!AL$6:AL$33,MATCH('PC17'!$N85,'Apportionment Bases'!$A$6:$A$33,0))</f>
        <v>0.375</v>
      </c>
      <c r="R85" s="195">
        <f>INDEX('Apportionment Bases'!AM$6:AM$33,MATCH('PC17'!$N85,'Apportionment Bases'!$A$6:$A$33,0))</f>
        <v>8.4000000000000005E-2</v>
      </c>
      <c r="S85" s="195">
        <f>INDEX('Apportionment Bases'!AN$6:AN$33,MATCH('PC17'!$N85,'Apportionment Bases'!$A$6:$A$33,0))</f>
        <v>3.0499999999999999E-2</v>
      </c>
      <c r="T85" s="195">
        <f>INDEX('Apportionment Bases'!AO$6:AO$33,MATCH('PC17'!$N85,'Apportionment Bases'!$A$6:$A$33,0))</f>
        <v>3.0499999999999999E-2</v>
      </c>
      <c r="V85" s="72">
        <f t="shared" si="69"/>
        <v>120000</v>
      </c>
      <c r="W85" s="72">
        <f t="shared" si="70"/>
        <v>93750</v>
      </c>
      <c r="X85" s="72">
        <f t="shared" si="97"/>
        <v>21000</v>
      </c>
      <c r="Y85" s="72">
        <f t="shared" si="98"/>
        <v>7625</v>
      </c>
      <c r="Z85" s="72">
        <f t="shared" si="99"/>
        <v>7625</v>
      </c>
      <c r="AA85" s="272" t="str">
        <f t="shared" si="71"/>
        <v>TRUE</v>
      </c>
      <c r="AH85" s="301"/>
      <c r="AO85" s="72">
        <f t="shared" si="101"/>
        <v>76296</v>
      </c>
      <c r="AP85" s="72">
        <f t="shared" si="102"/>
        <v>93321.276511866279</v>
      </c>
      <c r="AQ85" s="72">
        <f t="shared" si="103"/>
        <v>21000</v>
      </c>
      <c r="AR85" s="72">
        <f t="shared" si="104"/>
        <v>4485.0249999999996</v>
      </c>
      <c r="AS85" s="72">
        <f t="shared" si="105"/>
        <v>7625</v>
      </c>
      <c r="AT85" s="301"/>
      <c r="AU85" s="72">
        <f t="shared" si="106"/>
        <v>10236</v>
      </c>
      <c r="AV85" s="72">
        <f t="shared" si="107"/>
        <v>97.325159662540429</v>
      </c>
      <c r="AW85" s="72">
        <f t="shared" si="108"/>
        <v>0</v>
      </c>
      <c r="AX85" s="72">
        <f t="shared" si="109"/>
        <v>683.2</v>
      </c>
      <c r="AY85" s="72">
        <f t="shared" si="110"/>
        <v>0</v>
      </c>
      <c r="AZ85" s="301"/>
      <c r="BG85" s="72">
        <f t="shared" si="111"/>
        <v>17760</v>
      </c>
      <c r="BH85" s="72">
        <f t="shared" si="112"/>
        <v>173.70693053693921</v>
      </c>
      <c r="BI85" s="72">
        <f t="shared" si="113"/>
        <v>0</v>
      </c>
      <c r="BJ85" s="72">
        <f t="shared" si="114"/>
        <v>1556.2625</v>
      </c>
      <c r="BK85" s="72">
        <f t="shared" si="115"/>
        <v>0</v>
      </c>
      <c r="BL85" s="301"/>
      <c r="CE85" s="72">
        <f t="shared" si="116"/>
        <v>444</v>
      </c>
      <c r="CF85" s="72">
        <f t="shared" si="117"/>
        <v>4.9278561854450844</v>
      </c>
      <c r="CG85" s="72">
        <f t="shared" si="118"/>
        <v>0</v>
      </c>
      <c r="CH85" s="72">
        <f t="shared" si="119"/>
        <v>44.987499999999997</v>
      </c>
      <c r="CI85" s="72">
        <f t="shared" si="120"/>
        <v>0</v>
      </c>
      <c r="CJ85" s="301"/>
      <c r="CK85" s="72">
        <f t="shared" si="121"/>
        <v>15264</v>
      </c>
      <c r="CL85" s="72">
        <f t="shared" si="122"/>
        <v>152.76354174879759</v>
      </c>
      <c r="CM85" s="72">
        <f t="shared" si="123"/>
        <v>0</v>
      </c>
      <c r="CN85" s="72">
        <f t="shared" si="124"/>
        <v>855.52499999999998</v>
      </c>
      <c r="CO85" s="72">
        <f t="shared" si="125"/>
        <v>0</v>
      </c>
      <c r="CP85" s="301"/>
    </row>
    <row r="86" spans="1:94" x14ac:dyDescent="0.25">
      <c r="A86" s="3" t="s">
        <v>246</v>
      </c>
      <c r="B86" s="3" t="s">
        <v>151</v>
      </c>
      <c r="C86" s="3" t="s">
        <v>47</v>
      </c>
      <c r="D86" s="3" t="s">
        <v>48</v>
      </c>
      <c r="E86" s="3" t="s">
        <v>48</v>
      </c>
      <c r="F86" s="3" t="s">
        <v>456</v>
      </c>
      <c r="G86" t="s">
        <v>27</v>
      </c>
      <c r="H86" s="67">
        <f t="shared" si="100"/>
        <v>0</v>
      </c>
      <c r="I86" s="67">
        <f t="shared" si="100"/>
        <v>0</v>
      </c>
      <c r="J86" s="67">
        <f t="shared" si="100"/>
        <v>0</v>
      </c>
      <c r="K86" s="67">
        <f t="shared" si="100"/>
        <v>0</v>
      </c>
      <c r="L86" s="705">
        <v>0</v>
      </c>
      <c r="N86" s="209" t="s">
        <v>479</v>
      </c>
      <c r="P86" s="195">
        <f>INDEX('Apportionment Bases'!AK$6:AK$33,MATCH('PC17'!$N86,'Apportionment Bases'!$A$6:$A$33,0))</f>
        <v>0.48</v>
      </c>
      <c r="Q86" s="195">
        <f>INDEX('Apportionment Bases'!AL$6:AL$33,MATCH('PC17'!$N86,'Apportionment Bases'!$A$6:$A$33,0))</f>
        <v>0.375</v>
      </c>
      <c r="R86" s="195">
        <f>INDEX('Apportionment Bases'!AM$6:AM$33,MATCH('PC17'!$N86,'Apportionment Bases'!$A$6:$A$33,0))</f>
        <v>8.4000000000000005E-2</v>
      </c>
      <c r="S86" s="195">
        <f>INDEX('Apportionment Bases'!AN$6:AN$33,MATCH('PC17'!$N86,'Apportionment Bases'!$A$6:$A$33,0))</f>
        <v>3.0499999999999999E-2</v>
      </c>
      <c r="T86" s="195">
        <f>INDEX('Apportionment Bases'!AO$6:AO$33,MATCH('PC17'!$N86,'Apportionment Bases'!$A$6:$A$33,0))</f>
        <v>3.0499999999999999E-2</v>
      </c>
      <c r="V86" s="72">
        <f t="shared" si="69"/>
        <v>0</v>
      </c>
      <c r="W86" s="72">
        <f t="shared" si="70"/>
        <v>0</v>
      </c>
      <c r="X86" s="72">
        <f t="shared" si="97"/>
        <v>0</v>
      </c>
      <c r="Y86" s="72">
        <f t="shared" si="98"/>
        <v>0</v>
      </c>
      <c r="Z86" s="72">
        <f t="shared" si="99"/>
        <v>0</v>
      </c>
      <c r="AA86" s="272" t="str">
        <f t="shared" si="71"/>
        <v>TRUE</v>
      </c>
      <c r="AH86" s="301"/>
      <c r="AO86" s="72">
        <f t="shared" si="101"/>
        <v>0</v>
      </c>
      <c r="AP86" s="72">
        <f t="shared" si="102"/>
        <v>0</v>
      </c>
      <c r="AQ86" s="72">
        <f t="shared" si="103"/>
        <v>0</v>
      </c>
      <c r="AR86" s="72">
        <f t="shared" si="104"/>
        <v>0</v>
      </c>
      <c r="AS86" s="72">
        <f t="shared" si="105"/>
        <v>0</v>
      </c>
      <c r="AT86" s="301"/>
      <c r="AU86" s="72">
        <f t="shared" si="106"/>
        <v>0</v>
      </c>
      <c r="AV86" s="72">
        <f t="shared" si="107"/>
        <v>0</v>
      </c>
      <c r="AW86" s="72">
        <f t="shared" si="108"/>
        <v>0</v>
      </c>
      <c r="AX86" s="72">
        <f t="shared" si="109"/>
        <v>0</v>
      </c>
      <c r="AY86" s="72">
        <f t="shared" si="110"/>
        <v>0</v>
      </c>
      <c r="AZ86" s="301"/>
      <c r="BG86" s="72">
        <f t="shared" si="111"/>
        <v>0</v>
      </c>
      <c r="BH86" s="72">
        <f t="shared" si="112"/>
        <v>0</v>
      </c>
      <c r="BI86" s="72">
        <f t="shared" si="113"/>
        <v>0</v>
      </c>
      <c r="BJ86" s="72">
        <f t="shared" si="114"/>
        <v>0</v>
      </c>
      <c r="BK86" s="72">
        <f t="shared" si="115"/>
        <v>0</v>
      </c>
      <c r="BL86" s="301"/>
      <c r="CE86" s="72">
        <f t="shared" si="116"/>
        <v>0</v>
      </c>
      <c r="CF86" s="72">
        <f t="shared" si="117"/>
        <v>0</v>
      </c>
      <c r="CG86" s="72">
        <f t="shared" si="118"/>
        <v>0</v>
      </c>
      <c r="CH86" s="72">
        <f t="shared" si="119"/>
        <v>0</v>
      </c>
      <c r="CI86" s="72">
        <f t="shared" si="120"/>
        <v>0</v>
      </c>
      <c r="CJ86" s="301"/>
      <c r="CK86" s="72">
        <f t="shared" si="121"/>
        <v>0</v>
      </c>
      <c r="CL86" s="72">
        <f t="shared" si="122"/>
        <v>0</v>
      </c>
      <c r="CM86" s="72">
        <f t="shared" si="123"/>
        <v>0</v>
      </c>
      <c r="CN86" s="72">
        <f t="shared" si="124"/>
        <v>0</v>
      </c>
      <c r="CO86" s="72">
        <f t="shared" si="125"/>
        <v>0</v>
      </c>
      <c r="CP86" s="301"/>
    </row>
    <row r="87" spans="1:94" x14ac:dyDescent="0.25">
      <c r="A87" s="3" t="s">
        <v>246</v>
      </c>
      <c r="B87" s="3" t="s">
        <v>152</v>
      </c>
      <c r="C87" s="3" t="s">
        <v>45</v>
      </c>
      <c r="D87" s="3" t="s">
        <v>48</v>
      </c>
      <c r="E87" s="3" t="s">
        <v>48</v>
      </c>
      <c r="F87" s="3" t="s">
        <v>458</v>
      </c>
      <c r="G87" t="s">
        <v>28</v>
      </c>
      <c r="H87" s="67">
        <f t="shared" si="100"/>
        <v>900</v>
      </c>
      <c r="I87" s="67">
        <f t="shared" si="100"/>
        <v>900</v>
      </c>
      <c r="J87" s="67">
        <f t="shared" si="100"/>
        <v>900</v>
      </c>
      <c r="K87" s="67">
        <f t="shared" si="100"/>
        <v>900</v>
      </c>
      <c r="L87" s="705">
        <v>3600</v>
      </c>
      <c r="N87" s="209" t="s">
        <v>480</v>
      </c>
      <c r="P87" s="195">
        <f>INDEX('Apportionment Bases'!AK$6:AK$33,MATCH('PC17'!$N87,'Apportionment Bases'!$A$6:$A$33,0))</f>
        <v>0.1095</v>
      </c>
      <c r="Q87" s="195">
        <f>INDEX('Apportionment Bases'!AL$6:AL$33,MATCH('PC17'!$N87,'Apportionment Bases'!$A$6:$A$33,0))</f>
        <v>0.41525000000000001</v>
      </c>
      <c r="R87" s="195">
        <f>INDEX('Apportionment Bases'!AM$6:AM$33,MATCH('PC17'!$N87,'Apportionment Bases'!$A$6:$A$33,0))</f>
        <v>0.32724999999999999</v>
      </c>
      <c r="S87" s="195">
        <f>INDEX('Apportionment Bases'!AN$6:AN$33,MATCH('PC17'!$N87,'Apportionment Bases'!$A$6:$A$33,0))</f>
        <v>7.3999999999999996E-2</v>
      </c>
      <c r="T87" s="195">
        <f>INDEX('Apportionment Bases'!AO$6:AO$33,MATCH('PC17'!$N87,'Apportionment Bases'!$A$6:$A$33,0))</f>
        <v>7.3999999999999996E-2</v>
      </c>
      <c r="V87" s="72">
        <f t="shared" si="69"/>
        <v>394.2</v>
      </c>
      <c r="W87" s="72">
        <f t="shared" si="70"/>
        <v>1494.9</v>
      </c>
      <c r="X87" s="72">
        <f t="shared" si="97"/>
        <v>1178.0999999999999</v>
      </c>
      <c r="Y87" s="72">
        <f t="shared" si="98"/>
        <v>266.39999999999998</v>
      </c>
      <c r="Z87" s="72">
        <f t="shared" si="99"/>
        <v>266.39999999999998</v>
      </c>
      <c r="AA87" s="272" t="str">
        <f t="shared" si="71"/>
        <v>TRUE</v>
      </c>
      <c r="AH87" s="301"/>
      <c r="AO87" s="72">
        <f t="shared" si="101"/>
        <v>250.63236000000001</v>
      </c>
      <c r="AP87" s="72">
        <f t="shared" si="102"/>
        <v>1488.0637467476149</v>
      </c>
      <c r="AQ87" s="72">
        <f t="shared" si="103"/>
        <v>1178.0999999999999</v>
      </c>
      <c r="AR87" s="72">
        <f t="shared" si="104"/>
        <v>156.69647999999998</v>
      </c>
      <c r="AS87" s="72">
        <f t="shared" si="105"/>
        <v>266.39999999999998</v>
      </c>
      <c r="AT87" s="301"/>
      <c r="AU87" s="72">
        <f t="shared" si="106"/>
        <v>33.625259999999997</v>
      </c>
      <c r="AV87" s="72">
        <f t="shared" si="107"/>
        <v>1.5519080659150046</v>
      </c>
      <c r="AW87" s="72">
        <f t="shared" si="108"/>
        <v>0</v>
      </c>
      <c r="AX87" s="72">
        <f t="shared" si="109"/>
        <v>23.869439999999997</v>
      </c>
      <c r="AY87" s="72">
        <f t="shared" si="110"/>
        <v>0</v>
      </c>
      <c r="AZ87" s="301"/>
      <c r="BG87" s="72">
        <f t="shared" si="111"/>
        <v>58.341599999999993</v>
      </c>
      <c r="BH87" s="72">
        <f t="shared" si="112"/>
        <v>2.7698612315698181</v>
      </c>
      <c r="BI87" s="72">
        <f t="shared" si="113"/>
        <v>0</v>
      </c>
      <c r="BJ87" s="72">
        <f t="shared" si="114"/>
        <v>54.372239999999998</v>
      </c>
      <c r="BK87" s="72">
        <f t="shared" si="115"/>
        <v>0</v>
      </c>
      <c r="BL87" s="301"/>
      <c r="CE87" s="72">
        <f t="shared" si="116"/>
        <v>1.4585399999999999</v>
      </c>
      <c r="CF87" s="72">
        <f t="shared" si="117"/>
        <v>7.8577623590633139E-2</v>
      </c>
      <c r="CG87" s="72">
        <f t="shared" si="118"/>
        <v>0</v>
      </c>
      <c r="CH87" s="72">
        <f t="shared" si="119"/>
        <v>1.5717599999999998</v>
      </c>
      <c r="CI87" s="72">
        <f t="shared" si="120"/>
        <v>0</v>
      </c>
      <c r="CJ87" s="301"/>
      <c r="CK87" s="72">
        <f t="shared" si="121"/>
        <v>50.142240000000001</v>
      </c>
      <c r="CL87" s="72">
        <f t="shared" si="122"/>
        <v>2.4359063313096274</v>
      </c>
      <c r="CM87" s="72">
        <f t="shared" si="123"/>
        <v>0</v>
      </c>
      <c r="CN87" s="72">
        <f t="shared" si="124"/>
        <v>29.890079999999998</v>
      </c>
      <c r="CO87" s="72">
        <f t="shared" si="125"/>
        <v>0</v>
      </c>
      <c r="CP87" s="301"/>
    </row>
    <row r="88" spans="1:94" x14ac:dyDescent="0.25">
      <c r="A88" s="3" t="s">
        <v>246</v>
      </c>
      <c r="B88" s="3" t="s">
        <v>153</v>
      </c>
      <c r="C88" s="3" t="s">
        <v>47</v>
      </c>
      <c r="D88" s="3" t="s">
        <v>48</v>
      </c>
      <c r="E88" s="3" t="s">
        <v>48</v>
      </c>
      <c r="F88" s="3" t="s">
        <v>459</v>
      </c>
      <c r="G88" t="s">
        <v>29</v>
      </c>
      <c r="H88" s="67">
        <f t="shared" si="100"/>
        <v>478.25</v>
      </c>
      <c r="I88" s="67">
        <f t="shared" si="100"/>
        <v>478.25</v>
      </c>
      <c r="J88" s="67">
        <f t="shared" si="100"/>
        <v>478.25</v>
      </c>
      <c r="K88" s="67">
        <f t="shared" si="100"/>
        <v>478.25</v>
      </c>
      <c r="L88" s="705">
        <v>1913</v>
      </c>
      <c r="N88" s="209" t="s">
        <v>479</v>
      </c>
      <c r="P88" s="195">
        <f>INDEX('Apportionment Bases'!AK$6:AK$33,MATCH('PC17'!$N88,'Apportionment Bases'!$A$6:$A$33,0))</f>
        <v>0.48</v>
      </c>
      <c r="Q88" s="195">
        <f>INDEX('Apportionment Bases'!AL$6:AL$33,MATCH('PC17'!$N88,'Apportionment Bases'!$A$6:$A$33,0))</f>
        <v>0.375</v>
      </c>
      <c r="R88" s="195">
        <f>INDEX('Apportionment Bases'!AM$6:AM$33,MATCH('PC17'!$N88,'Apportionment Bases'!$A$6:$A$33,0))</f>
        <v>8.4000000000000005E-2</v>
      </c>
      <c r="S88" s="195">
        <f>INDEX('Apportionment Bases'!AN$6:AN$33,MATCH('PC17'!$N88,'Apportionment Bases'!$A$6:$A$33,0))</f>
        <v>3.0499999999999999E-2</v>
      </c>
      <c r="T88" s="195">
        <f>INDEX('Apportionment Bases'!AO$6:AO$33,MATCH('PC17'!$N88,'Apportionment Bases'!$A$6:$A$33,0))</f>
        <v>3.0499999999999999E-2</v>
      </c>
      <c r="V88" s="72">
        <f t="shared" ref="V88:W95" si="126">$L88*P88</f>
        <v>918.24</v>
      </c>
      <c r="W88" s="72">
        <f t="shared" si="126"/>
        <v>717.375</v>
      </c>
      <c r="X88" s="72">
        <f t="shared" si="97"/>
        <v>160.69200000000001</v>
      </c>
      <c r="Y88" s="72">
        <f t="shared" si="98"/>
        <v>58.346499999999999</v>
      </c>
      <c r="Z88" s="72">
        <f t="shared" si="99"/>
        <v>58.346499999999999</v>
      </c>
      <c r="AA88" s="272" t="str">
        <f t="shared" ref="AA88:AA95" si="127">IF(SUM(V88:Z88)=L88,"TRUE","FALSE")</f>
        <v>TRUE</v>
      </c>
      <c r="AH88" s="301"/>
      <c r="AO88" s="72">
        <f t="shared" ref="AO88:AO95" si="128">$AC$7*V88</f>
        <v>583.81699200000003</v>
      </c>
      <c r="AP88" s="72">
        <f t="shared" ref="AP88:AP95" si="129">$AD$7*W88</f>
        <v>714.09440786880077</v>
      </c>
      <c r="AQ88" s="72">
        <f t="shared" ref="AQ88:AQ95" si="130">$AE$7*X88</f>
        <v>160.69200000000001</v>
      </c>
      <c r="AR88" s="72">
        <f t="shared" ref="AR88:AR95" si="131">$AF$7*Y88</f>
        <v>34.319411299999999</v>
      </c>
      <c r="AS88" s="72">
        <f t="shared" ref="AS88:AS95" si="132">$AG$7*Z88</f>
        <v>58.346499999999999</v>
      </c>
      <c r="AT88" s="301"/>
      <c r="AU88" s="72">
        <f t="shared" ref="AU88:AU95" si="133">$AC$8*V88</f>
        <v>78.325872000000004</v>
      </c>
      <c r="AV88" s="72">
        <f t="shared" ref="AV88:AV95" si="134">$AD$8*W88</f>
        <v>0.74473212173775938</v>
      </c>
      <c r="AW88" s="72">
        <f t="shared" ref="AW88:AW95" si="135">$AE$8*X88</f>
        <v>0</v>
      </c>
      <c r="AX88" s="72">
        <f t="shared" ref="AX88:AX95" si="136">$AF$8*Y88</f>
        <v>5.2278463999999998</v>
      </c>
      <c r="AY88" s="72">
        <f t="shared" ref="AY88:AY95" si="137">$AG$8*Z88</f>
        <v>0</v>
      </c>
      <c r="AZ88" s="301"/>
      <c r="BG88" s="72">
        <f t="shared" ref="BG88:BG95" si="138">$AC$9*V88</f>
        <v>135.89952</v>
      </c>
      <c r="BH88" s="72">
        <f t="shared" ref="BH88:BH95" si="139">$AD$9*W88</f>
        <v>1.3292054324686589</v>
      </c>
      <c r="BI88" s="72">
        <f t="shared" ref="BI88:BI95" si="140">$AE$9*X88</f>
        <v>0</v>
      </c>
      <c r="BJ88" s="72">
        <f t="shared" ref="BJ88:BJ95" si="141">$AF$9*Y88</f>
        <v>11.90852065</v>
      </c>
      <c r="BK88" s="72">
        <f t="shared" ref="BK88:BK95" si="142">$AG$9*Z88</f>
        <v>0</v>
      </c>
      <c r="BL88" s="301"/>
      <c r="CE88" s="72">
        <f t="shared" ref="CE88:CE95" si="143">$AC$10*V88</f>
        <v>3.3974880000000001</v>
      </c>
      <c r="CF88" s="72">
        <f t="shared" ref="CF88:CF95" si="144">$AD$10*W88</f>
        <v>3.7707955531025787E-2</v>
      </c>
      <c r="CG88" s="72">
        <f t="shared" ref="CG88:CG95" si="145">$AE$10*X88</f>
        <v>0</v>
      </c>
      <c r="CH88" s="72">
        <f t="shared" ref="CH88:CH95" si="146">$AF$10*Y88</f>
        <v>0.34424434999999998</v>
      </c>
      <c r="CI88" s="72">
        <f t="shared" ref="CI88:CI95" si="147">$AG$10*Z88</f>
        <v>0</v>
      </c>
      <c r="CJ88" s="301"/>
      <c r="CK88" s="72">
        <f t="shared" ref="CK88:CK95" si="148">$AC$11*V88</f>
        <v>116.80012800000002</v>
      </c>
      <c r="CL88" s="72">
        <f t="shared" ref="CL88:CL95" si="149">$AD$11*W88</f>
        <v>1.1689466214617992</v>
      </c>
      <c r="CM88" s="72">
        <f t="shared" ref="CM88:CM95" si="150">$AE$11*X88</f>
        <v>0</v>
      </c>
      <c r="CN88" s="72">
        <f t="shared" ref="CN88:CN95" si="151">$AF$11*Y88</f>
        <v>6.5464772999999994</v>
      </c>
      <c r="CO88" s="72">
        <f t="shared" ref="CO88:CO95" si="152">$AG$11*Z88</f>
        <v>0</v>
      </c>
      <c r="CP88" s="301"/>
    </row>
    <row r="89" spans="1:94" x14ac:dyDescent="0.25">
      <c r="A89" s="3" t="s">
        <v>246</v>
      </c>
      <c r="B89" s="3" t="s">
        <v>153</v>
      </c>
      <c r="C89" s="3" t="s">
        <v>45</v>
      </c>
      <c r="D89" s="3" t="s">
        <v>48</v>
      </c>
      <c r="E89" s="3" t="s">
        <v>48</v>
      </c>
      <c r="F89" s="3" t="s">
        <v>460</v>
      </c>
      <c r="G89" t="s">
        <v>29</v>
      </c>
      <c r="H89" s="67">
        <f t="shared" si="100"/>
        <v>0</v>
      </c>
      <c r="I89" s="67">
        <f t="shared" si="100"/>
        <v>0</v>
      </c>
      <c r="J89" s="67">
        <f t="shared" si="100"/>
        <v>0</v>
      </c>
      <c r="K89" s="67">
        <f t="shared" si="100"/>
        <v>0</v>
      </c>
      <c r="L89" s="705">
        <v>0</v>
      </c>
      <c r="N89" s="209" t="s">
        <v>480</v>
      </c>
      <c r="P89" s="195">
        <f>INDEX('Apportionment Bases'!AK$6:AK$33,MATCH('PC17'!$N89,'Apportionment Bases'!$A$6:$A$33,0))</f>
        <v>0.1095</v>
      </c>
      <c r="Q89" s="195">
        <f>INDEX('Apportionment Bases'!AL$6:AL$33,MATCH('PC17'!$N89,'Apportionment Bases'!$A$6:$A$33,0))</f>
        <v>0.41525000000000001</v>
      </c>
      <c r="R89" s="195">
        <f>INDEX('Apportionment Bases'!AM$6:AM$33,MATCH('PC17'!$N89,'Apportionment Bases'!$A$6:$A$33,0))</f>
        <v>0.32724999999999999</v>
      </c>
      <c r="S89" s="195">
        <f>INDEX('Apportionment Bases'!AN$6:AN$33,MATCH('PC17'!$N89,'Apportionment Bases'!$A$6:$A$33,0))</f>
        <v>7.3999999999999996E-2</v>
      </c>
      <c r="T89" s="195">
        <f>INDEX('Apportionment Bases'!AO$6:AO$33,MATCH('PC17'!$N89,'Apportionment Bases'!$A$6:$A$33,0))</f>
        <v>7.3999999999999996E-2</v>
      </c>
      <c r="V89" s="72">
        <f t="shared" si="126"/>
        <v>0</v>
      </c>
      <c r="W89" s="72">
        <f t="shared" si="126"/>
        <v>0</v>
      </c>
      <c r="X89" s="72">
        <f t="shared" ref="X89:X95" si="153">$L89*R89</f>
        <v>0</v>
      </c>
      <c r="Y89" s="72">
        <f t="shared" ref="Y89:Y95" si="154">$L89*S89</f>
        <v>0</v>
      </c>
      <c r="Z89" s="72">
        <f t="shared" ref="Z89:Z95" si="155">$L89*T89</f>
        <v>0</v>
      </c>
      <c r="AA89" s="272" t="str">
        <f t="shared" si="127"/>
        <v>TRUE</v>
      </c>
      <c r="AH89" s="301"/>
      <c r="AO89" s="72">
        <f t="shared" si="128"/>
        <v>0</v>
      </c>
      <c r="AP89" s="72">
        <f t="shared" si="129"/>
        <v>0</v>
      </c>
      <c r="AQ89" s="72">
        <f t="shared" si="130"/>
        <v>0</v>
      </c>
      <c r="AR89" s="72">
        <f t="shared" si="131"/>
        <v>0</v>
      </c>
      <c r="AS89" s="72">
        <f t="shared" si="132"/>
        <v>0</v>
      </c>
      <c r="AT89" s="301"/>
      <c r="AU89" s="72">
        <f t="shared" si="133"/>
        <v>0</v>
      </c>
      <c r="AV89" s="72">
        <f t="shared" si="134"/>
        <v>0</v>
      </c>
      <c r="AW89" s="72">
        <f t="shared" si="135"/>
        <v>0</v>
      </c>
      <c r="AX89" s="72">
        <f t="shared" si="136"/>
        <v>0</v>
      </c>
      <c r="AY89" s="72">
        <f t="shared" si="137"/>
        <v>0</v>
      </c>
      <c r="AZ89" s="301"/>
      <c r="BG89" s="72">
        <f t="shared" si="138"/>
        <v>0</v>
      </c>
      <c r="BH89" s="72">
        <f t="shared" si="139"/>
        <v>0</v>
      </c>
      <c r="BI89" s="72">
        <f t="shared" si="140"/>
        <v>0</v>
      </c>
      <c r="BJ89" s="72">
        <f t="shared" si="141"/>
        <v>0</v>
      </c>
      <c r="BK89" s="72">
        <f t="shared" si="142"/>
        <v>0</v>
      </c>
      <c r="BL89" s="301"/>
      <c r="CE89" s="72">
        <f t="shared" si="143"/>
        <v>0</v>
      </c>
      <c r="CF89" s="72">
        <f t="shared" si="144"/>
        <v>0</v>
      </c>
      <c r="CG89" s="72">
        <f t="shared" si="145"/>
        <v>0</v>
      </c>
      <c r="CH89" s="72">
        <f t="shared" si="146"/>
        <v>0</v>
      </c>
      <c r="CI89" s="72">
        <f t="shared" si="147"/>
        <v>0</v>
      </c>
      <c r="CJ89" s="301"/>
      <c r="CK89" s="72">
        <f t="shared" si="148"/>
        <v>0</v>
      </c>
      <c r="CL89" s="72">
        <f t="shared" si="149"/>
        <v>0</v>
      </c>
      <c r="CM89" s="72">
        <f t="shared" si="150"/>
        <v>0</v>
      </c>
      <c r="CN89" s="72">
        <f t="shared" si="151"/>
        <v>0</v>
      </c>
      <c r="CO89" s="72">
        <f t="shared" si="152"/>
        <v>0</v>
      </c>
      <c r="CP89" s="301"/>
    </row>
    <row r="90" spans="1:94" x14ac:dyDescent="0.25">
      <c r="A90" s="3" t="s">
        <v>246</v>
      </c>
      <c r="B90" s="3" t="s">
        <v>154</v>
      </c>
      <c r="C90" s="3" t="s">
        <v>47</v>
      </c>
      <c r="D90" s="3" t="s">
        <v>48</v>
      </c>
      <c r="E90" s="3" t="s">
        <v>48</v>
      </c>
      <c r="F90" s="3" t="s">
        <v>466</v>
      </c>
      <c r="G90" t="s">
        <v>155</v>
      </c>
      <c r="L90" s="705">
        <v>6000</v>
      </c>
      <c r="N90" s="209" t="s">
        <v>479</v>
      </c>
      <c r="P90" s="195">
        <f>INDEX('Apportionment Bases'!AK$6:AK$33,MATCH('PC17'!$N90,'Apportionment Bases'!$A$6:$A$33,0))</f>
        <v>0.48</v>
      </c>
      <c r="Q90" s="195">
        <f>INDEX('Apportionment Bases'!AL$6:AL$33,MATCH('PC17'!$N90,'Apportionment Bases'!$A$6:$A$33,0))</f>
        <v>0.375</v>
      </c>
      <c r="R90" s="195">
        <f>INDEX('Apportionment Bases'!AM$6:AM$33,MATCH('PC17'!$N90,'Apportionment Bases'!$A$6:$A$33,0))</f>
        <v>8.4000000000000005E-2</v>
      </c>
      <c r="S90" s="195">
        <f>INDEX('Apportionment Bases'!AN$6:AN$33,MATCH('PC17'!$N90,'Apportionment Bases'!$A$6:$A$33,0))</f>
        <v>3.0499999999999999E-2</v>
      </c>
      <c r="T90" s="195">
        <f>INDEX('Apportionment Bases'!AO$6:AO$33,MATCH('PC17'!$N90,'Apportionment Bases'!$A$6:$A$33,0))</f>
        <v>3.0499999999999999E-2</v>
      </c>
      <c r="V90" s="72">
        <f t="shared" si="126"/>
        <v>2880</v>
      </c>
      <c r="W90" s="72">
        <f t="shared" si="126"/>
        <v>2250</v>
      </c>
      <c r="X90" s="72">
        <f t="shared" si="153"/>
        <v>504.00000000000006</v>
      </c>
      <c r="Y90" s="72">
        <f t="shared" si="154"/>
        <v>183</v>
      </c>
      <c r="Z90" s="72">
        <f t="shared" si="155"/>
        <v>183</v>
      </c>
      <c r="AA90" s="272" t="str">
        <f t="shared" si="127"/>
        <v>TRUE</v>
      </c>
      <c r="AH90" s="301"/>
      <c r="AO90" s="72">
        <f t="shared" si="128"/>
        <v>1831.104</v>
      </c>
      <c r="AP90" s="72">
        <f t="shared" si="129"/>
        <v>2239.7106362847908</v>
      </c>
      <c r="AQ90" s="72">
        <f t="shared" si="130"/>
        <v>504.00000000000006</v>
      </c>
      <c r="AR90" s="72">
        <f t="shared" si="131"/>
        <v>107.64059999999999</v>
      </c>
      <c r="AS90" s="72">
        <f t="shared" si="132"/>
        <v>183</v>
      </c>
      <c r="AT90" s="301"/>
      <c r="AU90" s="72">
        <f t="shared" si="133"/>
        <v>245.66400000000002</v>
      </c>
      <c r="AV90" s="72">
        <f t="shared" si="134"/>
        <v>2.3358038319009702</v>
      </c>
      <c r="AW90" s="72">
        <f t="shared" si="135"/>
        <v>0</v>
      </c>
      <c r="AX90" s="72">
        <f t="shared" si="136"/>
        <v>16.396799999999999</v>
      </c>
      <c r="AY90" s="72">
        <f t="shared" si="137"/>
        <v>0</v>
      </c>
      <c r="AZ90" s="301"/>
      <c r="BG90" s="72">
        <f t="shared" si="138"/>
        <v>426.23999999999995</v>
      </c>
      <c r="BH90" s="72">
        <f t="shared" si="139"/>
        <v>4.1689663328865416</v>
      </c>
      <c r="BI90" s="72">
        <f t="shared" si="140"/>
        <v>0</v>
      </c>
      <c r="BJ90" s="72">
        <f t="shared" si="141"/>
        <v>37.350299999999997</v>
      </c>
      <c r="BK90" s="72">
        <f t="shared" si="142"/>
        <v>0</v>
      </c>
      <c r="BL90" s="301"/>
      <c r="CE90" s="72">
        <f t="shared" si="143"/>
        <v>10.656000000000001</v>
      </c>
      <c r="CF90" s="72">
        <f t="shared" si="144"/>
        <v>0.11826854845068203</v>
      </c>
      <c r="CG90" s="72">
        <f t="shared" si="145"/>
        <v>0</v>
      </c>
      <c r="CH90" s="72">
        <f t="shared" si="146"/>
        <v>1.0796999999999999</v>
      </c>
      <c r="CI90" s="72">
        <f t="shared" si="147"/>
        <v>0</v>
      </c>
      <c r="CJ90" s="301"/>
      <c r="CK90" s="72">
        <f t="shared" si="148"/>
        <v>366.33600000000001</v>
      </c>
      <c r="CL90" s="72">
        <f t="shared" si="149"/>
        <v>3.6663250019711424</v>
      </c>
      <c r="CM90" s="72">
        <f t="shared" si="150"/>
        <v>0</v>
      </c>
      <c r="CN90" s="72">
        <f t="shared" si="151"/>
        <v>20.532599999999999</v>
      </c>
      <c r="CO90" s="72">
        <f t="shared" si="152"/>
        <v>0</v>
      </c>
      <c r="CP90" s="301"/>
    </row>
    <row r="91" spans="1:94" x14ac:dyDescent="0.25">
      <c r="A91" s="3" t="s">
        <v>246</v>
      </c>
      <c r="B91" s="3" t="s">
        <v>156</v>
      </c>
      <c r="C91" s="3" t="s">
        <v>47</v>
      </c>
      <c r="D91" s="3" t="s">
        <v>48</v>
      </c>
      <c r="E91" s="3" t="s">
        <v>48</v>
      </c>
      <c r="F91" s="3" t="s">
        <v>470</v>
      </c>
      <c r="G91" t="s">
        <v>30</v>
      </c>
      <c r="L91" s="705">
        <v>8400</v>
      </c>
      <c r="N91" s="209" t="s">
        <v>479</v>
      </c>
      <c r="P91" s="195">
        <f>INDEX('Apportionment Bases'!AK$6:AK$33,MATCH('PC17'!$N91,'Apportionment Bases'!$A$6:$A$33,0))</f>
        <v>0.48</v>
      </c>
      <c r="Q91" s="195">
        <f>INDEX('Apportionment Bases'!AL$6:AL$33,MATCH('PC17'!$N91,'Apportionment Bases'!$A$6:$A$33,0))</f>
        <v>0.375</v>
      </c>
      <c r="R91" s="195">
        <f>INDEX('Apportionment Bases'!AM$6:AM$33,MATCH('PC17'!$N91,'Apportionment Bases'!$A$6:$A$33,0))</f>
        <v>8.4000000000000005E-2</v>
      </c>
      <c r="S91" s="195">
        <f>INDEX('Apportionment Bases'!AN$6:AN$33,MATCH('PC17'!$N91,'Apportionment Bases'!$A$6:$A$33,0))</f>
        <v>3.0499999999999999E-2</v>
      </c>
      <c r="T91" s="195">
        <f>INDEX('Apportionment Bases'!AO$6:AO$33,MATCH('PC17'!$N91,'Apportionment Bases'!$A$6:$A$33,0))</f>
        <v>3.0499999999999999E-2</v>
      </c>
      <c r="V91" s="72">
        <f t="shared" si="126"/>
        <v>4032</v>
      </c>
      <c r="W91" s="72">
        <f t="shared" si="126"/>
        <v>3150</v>
      </c>
      <c r="X91" s="72">
        <f t="shared" si="153"/>
        <v>705.6</v>
      </c>
      <c r="Y91" s="72">
        <f t="shared" si="154"/>
        <v>256.2</v>
      </c>
      <c r="Z91" s="72">
        <f t="shared" si="155"/>
        <v>256.2</v>
      </c>
      <c r="AA91" s="272" t="str">
        <f t="shared" si="127"/>
        <v>TRUE</v>
      </c>
      <c r="AH91" s="301"/>
      <c r="AO91" s="72">
        <f t="shared" si="128"/>
        <v>2563.5455999999999</v>
      </c>
      <c r="AP91" s="72">
        <f t="shared" si="129"/>
        <v>3135.5948907987067</v>
      </c>
      <c r="AQ91" s="72">
        <f t="shared" si="130"/>
        <v>705.6</v>
      </c>
      <c r="AR91" s="72">
        <f t="shared" si="131"/>
        <v>150.69683999999998</v>
      </c>
      <c r="AS91" s="72">
        <f t="shared" si="132"/>
        <v>256.2</v>
      </c>
      <c r="AT91" s="301"/>
      <c r="AU91" s="72">
        <f t="shared" si="133"/>
        <v>343.92959999999999</v>
      </c>
      <c r="AV91" s="72">
        <f t="shared" si="134"/>
        <v>3.2701253646613582</v>
      </c>
      <c r="AW91" s="72">
        <f t="shared" si="135"/>
        <v>0</v>
      </c>
      <c r="AX91" s="72">
        <f t="shared" si="136"/>
        <v>22.95552</v>
      </c>
      <c r="AY91" s="72">
        <f t="shared" si="137"/>
        <v>0</v>
      </c>
      <c r="AZ91" s="301"/>
      <c r="BG91" s="72">
        <f t="shared" si="138"/>
        <v>596.73599999999999</v>
      </c>
      <c r="BH91" s="72">
        <f t="shared" si="139"/>
        <v>5.8365528660411581</v>
      </c>
      <c r="BI91" s="72">
        <f t="shared" si="140"/>
        <v>0</v>
      </c>
      <c r="BJ91" s="72">
        <f t="shared" si="141"/>
        <v>52.290419999999997</v>
      </c>
      <c r="BK91" s="72">
        <f t="shared" si="142"/>
        <v>0</v>
      </c>
      <c r="BL91" s="301"/>
      <c r="CE91" s="72">
        <f t="shared" si="143"/>
        <v>14.9184</v>
      </c>
      <c r="CF91" s="72">
        <f t="shared" si="144"/>
        <v>0.16557596783095485</v>
      </c>
      <c r="CG91" s="72">
        <f t="shared" si="145"/>
        <v>0</v>
      </c>
      <c r="CH91" s="72">
        <f t="shared" si="146"/>
        <v>1.5115799999999999</v>
      </c>
      <c r="CI91" s="72">
        <f t="shared" si="147"/>
        <v>0</v>
      </c>
      <c r="CJ91" s="301"/>
      <c r="CK91" s="72">
        <f t="shared" si="148"/>
        <v>512.87040000000002</v>
      </c>
      <c r="CL91" s="72">
        <f t="shared" si="149"/>
        <v>5.1328550027595998</v>
      </c>
      <c r="CM91" s="72">
        <f t="shared" si="150"/>
        <v>0</v>
      </c>
      <c r="CN91" s="72">
        <f t="shared" si="151"/>
        <v>28.745639999999998</v>
      </c>
      <c r="CO91" s="72">
        <f t="shared" si="152"/>
        <v>0</v>
      </c>
      <c r="CP91" s="301"/>
    </row>
    <row r="92" spans="1:94" x14ac:dyDescent="0.25">
      <c r="A92" s="3" t="s">
        <v>246</v>
      </c>
      <c r="B92" s="3" t="s">
        <v>156</v>
      </c>
      <c r="C92" s="3" t="s">
        <v>45</v>
      </c>
      <c r="D92" s="3" t="s">
        <v>48</v>
      </c>
      <c r="E92" s="3" t="s">
        <v>48</v>
      </c>
      <c r="F92" s="3" t="s">
        <v>471</v>
      </c>
      <c r="G92" t="s">
        <v>30</v>
      </c>
      <c r="L92" s="705">
        <v>4200</v>
      </c>
      <c r="N92" s="209" t="s">
        <v>480</v>
      </c>
      <c r="P92" s="195">
        <f>INDEX('Apportionment Bases'!AK$6:AK$33,MATCH('PC17'!$N92,'Apportionment Bases'!$A$6:$A$33,0))</f>
        <v>0.1095</v>
      </c>
      <c r="Q92" s="195">
        <f>INDEX('Apportionment Bases'!AL$6:AL$33,MATCH('PC17'!$N92,'Apportionment Bases'!$A$6:$A$33,0))</f>
        <v>0.41525000000000001</v>
      </c>
      <c r="R92" s="195">
        <f>INDEX('Apportionment Bases'!AM$6:AM$33,MATCH('PC17'!$N92,'Apportionment Bases'!$A$6:$A$33,0))</f>
        <v>0.32724999999999999</v>
      </c>
      <c r="S92" s="195">
        <f>INDEX('Apportionment Bases'!AN$6:AN$33,MATCH('PC17'!$N92,'Apportionment Bases'!$A$6:$A$33,0))</f>
        <v>7.3999999999999996E-2</v>
      </c>
      <c r="T92" s="195">
        <f>INDEX('Apportionment Bases'!AO$6:AO$33,MATCH('PC17'!$N92,'Apportionment Bases'!$A$6:$A$33,0))</f>
        <v>7.3999999999999996E-2</v>
      </c>
      <c r="V92" s="72">
        <f t="shared" si="126"/>
        <v>459.9</v>
      </c>
      <c r="W92" s="72">
        <f t="shared" si="126"/>
        <v>1744.05</v>
      </c>
      <c r="X92" s="72">
        <f t="shared" si="153"/>
        <v>1374.45</v>
      </c>
      <c r="Y92" s="72">
        <f t="shared" si="154"/>
        <v>310.8</v>
      </c>
      <c r="Z92" s="72">
        <f t="shared" si="155"/>
        <v>310.8</v>
      </c>
      <c r="AA92" s="272" t="str">
        <f t="shared" si="127"/>
        <v>TRUE</v>
      </c>
      <c r="AH92" s="301"/>
      <c r="AO92" s="72">
        <f t="shared" si="128"/>
        <v>292.40442000000002</v>
      </c>
      <c r="AP92" s="72">
        <f t="shared" si="129"/>
        <v>1736.0743712055507</v>
      </c>
      <c r="AQ92" s="72">
        <f t="shared" si="130"/>
        <v>1374.45</v>
      </c>
      <c r="AR92" s="72">
        <f t="shared" si="131"/>
        <v>182.81255999999999</v>
      </c>
      <c r="AS92" s="72">
        <f t="shared" si="132"/>
        <v>310.8</v>
      </c>
      <c r="AT92" s="301"/>
      <c r="AU92" s="72">
        <f t="shared" si="133"/>
        <v>39.229469999999999</v>
      </c>
      <c r="AV92" s="72">
        <f t="shared" si="134"/>
        <v>1.810559410234172</v>
      </c>
      <c r="AW92" s="72">
        <f t="shared" si="135"/>
        <v>0</v>
      </c>
      <c r="AX92" s="72">
        <f t="shared" si="136"/>
        <v>27.84768</v>
      </c>
      <c r="AY92" s="72">
        <f t="shared" si="137"/>
        <v>0</v>
      </c>
      <c r="AZ92" s="301"/>
      <c r="BG92" s="72">
        <f t="shared" si="138"/>
        <v>68.06519999999999</v>
      </c>
      <c r="BH92" s="72">
        <f t="shared" si="139"/>
        <v>3.2315047701647877</v>
      </c>
      <c r="BI92" s="72">
        <f t="shared" si="140"/>
        <v>0</v>
      </c>
      <c r="BJ92" s="72">
        <f t="shared" si="141"/>
        <v>63.434280000000001</v>
      </c>
      <c r="BK92" s="72">
        <f t="shared" si="142"/>
        <v>0</v>
      </c>
      <c r="BL92" s="301"/>
      <c r="CE92" s="72">
        <f t="shared" si="143"/>
        <v>1.70163</v>
      </c>
      <c r="CF92" s="72">
        <f t="shared" si="144"/>
        <v>9.1673894189072E-2</v>
      </c>
      <c r="CG92" s="72">
        <f t="shared" si="145"/>
        <v>0</v>
      </c>
      <c r="CH92" s="72">
        <f t="shared" si="146"/>
        <v>1.83372</v>
      </c>
      <c r="CI92" s="72">
        <f t="shared" si="147"/>
        <v>0</v>
      </c>
      <c r="CJ92" s="301"/>
      <c r="CK92" s="72">
        <f t="shared" si="148"/>
        <v>58.499279999999999</v>
      </c>
      <c r="CL92" s="72">
        <f t="shared" si="149"/>
        <v>2.8418907198612313</v>
      </c>
      <c r="CM92" s="72">
        <f t="shared" si="150"/>
        <v>0</v>
      </c>
      <c r="CN92" s="72">
        <f t="shared" si="151"/>
        <v>34.871760000000002</v>
      </c>
      <c r="CO92" s="72">
        <f t="shared" si="152"/>
        <v>0</v>
      </c>
      <c r="CP92" s="301"/>
    </row>
    <row r="93" spans="1:94" x14ac:dyDescent="0.25">
      <c r="A93" s="3" t="s">
        <v>246</v>
      </c>
      <c r="B93" s="3" t="s">
        <v>387</v>
      </c>
      <c r="C93" s="3" t="s">
        <v>47</v>
      </c>
      <c r="D93" s="3" t="s">
        <v>48</v>
      </c>
      <c r="E93" s="3" t="s">
        <v>48</v>
      </c>
      <c r="F93" s="3" t="s">
        <v>472</v>
      </c>
      <c r="G93" t="s">
        <v>388</v>
      </c>
      <c r="L93" s="705">
        <v>90000</v>
      </c>
      <c r="N93" s="209" t="s">
        <v>3</v>
      </c>
      <c r="P93" s="195">
        <f>INDEX('Apportionment Bases'!AK$6:AK$33,MATCH('PC17'!$N93,'Apportionment Bases'!$A$6:$A$33,0))</f>
        <v>0</v>
      </c>
      <c r="Q93" s="195">
        <f>INDEX('Apportionment Bases'!AL$6:AL$33,MATCH('PC17'!$N93,'Apportionment Bases'!$A$6:$A$33,0))</f>
        <v>1</v>
      </c>
      <c r="R93" s="195">
        <f>INDEX('Apportionment Bases'!AM$6:AM$33,MATCH('PC17'!$N93,'Apportionment Bases'!$A$6:$A$33,0))</f>
        <v>0</v>
      </c>
      <c r="S93" s="195">
        <f>INDEX('Apportionment Bases'!AN$6:AN$33,MATCH('PC17'!$N93,'Apportionment Bases'!$A$6:$A$33,0))</f>
        <v>0</v>
      </c>
      <c r="T93" s="195">
        <f>INDEX('Apportionment Bases'!AO$6:AO$33,MATCH('PC17'!$N93,'Apportionment Bases'!$A$6:$A$33,0))</f>
        <v>0</v>
      </c>
      <c r="V93" s="72">
        <f t="shared" si="126"/>
        <v>0</v>
      </c>
      <c r="W93" s="72">
        <f t="shared" si="126"/>
        <v>90000</v>
      </c>
      <c r="X93" s="72">
        <f t="shared" si="153"/>
        <v>0</v>
      </c>
      <c r="Y93" s="72">
        <f t="shared" si="154"/>
        <v>0</v>
      </c>
      <c r="Z93" s="72">
        <f t="shared" si="155"/>
        <v>0</v>
      </c>
      <c r="AA93" s="272" t="str">
        <f t="shared" si="127"/>
        <v>TRUE</v>
      </c>
      <c r="AH93" s="301"/>
      <c r="AO93" s="72">
        <f t="shared" si="128"/>
        <v>0</v>
      </c>
      <c r="AP93" s="72">
        <f t="shared" si="129"/>
        <v>89588.425451391624</v>
      </c>
      <c r="AQ93" s="72">
        <f t="shared" si="130"/>
        <v>0</v>
      </c>
      <c r="AR93" s="72">
        <f t="shared" si="131"/>
        <v>0</v>
      </c>
      <c r="AS93" s="72">
        <f t="shared" si="132"/>
        <v>0</v>
      </c>
      <c r="AT93" s="301"/>
      <c r="AU93" s="72">
        <f t="shared" si="133"/>
        <v>0</v>
      </c>
      <c r="AV93" s="72">
        <f t="shared" si="134"/>
        <v>93.432153276038804</v>
      </c>
      <c r="AW93" s="72">
        <f t="shared" si="135"/>
        <v>0</v>
      </c>
      <c r="AX93" s="72">
        <f t="shared" si="136"/>
        <v>0</v>
      </c>
      <c r="AY93" s="72">
        <f t="shared" si="137"/>
        <v>0</v>
      </c>
      <c r="AZ93" s="301"/>
      <c r="BG93" s="72">
        <f t="shared" si="138"/>
        <v>0</v>
      </c>
      <c r="BH93" s="72">
        <f t="shared" si="139"/>
        <v>166.75865331546166</v>
      </c>
      <c r="BI93" s="72">
        <f t="shared" si="140"/>
        <v>0</v>
      </c>
      <c r="BJ93" s="72">
        <f t="shared" si="141"/>
        <v>0</v>
      </c>
      <c r="BK93" s="72">
        <f t="shared" si="142"/>
        <v>0</v>
      </c>
      <c r="BL93" s="301"/>
      <c r="CE93" s="72">
        <f t="shared" si="143"/>
        <v>0</v>
      </c>
      <c r="CF93" s="72">
        <f t="shared" si="144"/>
        <v>4.7307419380272808</v>
      </c>
      <c r="CG93" s="72">
        <f t="shared" si="145"/>
        <v>0</v>
      </c>
      <c r="CH93" s="72">
        <f t="shared" si="146"/>
        <v>0</v>
      </c>
      <c r="CI93" s="72">
        <f t="shared" si="147"/>
        <v>0</v>
      </c>
      <c r="CJ93" s="301"/>
      <c r="CK93" s="72">
        <f t="shared" si="148"/>
        <v>0</v>
      </c>
      <c r="CL93" s="72">
        <f t="shared" si="149"/>
        <v>146.65300007884571</v>
      </c>
      <c r="CM93" s="72">
        <f t="shared" si="150"/>
        <v>0</v>
      </c>
      <c r="CN93" s="72">
        <f t="shared" si="151"/>
        <v>0</v>
      </c>
      <c r="CO93" s="72">
        <f t="shared" si="152"/>
        <v>0</v>
      </c>
      <c r="CP93" s="301"/>
    </row>
    <row r="94" spans="1:94" x14ac:dyDescent="0.25">
      <c r="A94" s="3" t="s">
        <v>246</v>
      </c>
      <c r="B94" s="3" t="s">
        <v>158</v>
      </c>
      <c r="C94" s="3" t="s">
        <v>47</v>
      </c>
      <c r="D94" s="3" t="s">
        <v>48</v>
      </c>
      <c r="E94" s="3" t="s">
        <v>48</v>
      </c>
      <c r="F94" s="3" t="s">
        <v>473</v>
      </c>
      <c r="G94" t="s">
        <v>159</v>
      </c>
      <c r="L94" s="705">
        <v>230502</v>
      </c>
      <c r="N94" s="209" t="s">
        <v>705</v>
      </c>
      <c r="P94" s="195">
        <f>INDEX('Apportionment Bases'!AK$6:AK$33,MATCH('PC17'!$N94,'Apportionment Bases'!$A$6:$A$33,0))</f>
        <v>0</v>
      </c>
      <c r="Q94" s="195">
        <f>INDEX('Apportionment Bases'!AL$6:AL$33,MATCH('PC17'!$N94,'Apportionment Bases'!$A$6:$A$33,0))</f>
        <v>0</v>
      </c>
      <c r="R94" s="195">
        <f>INDEX('Apportionment Bases'!AM$6:AM$33,MATCH('PC17'!$N94,'Apportionment Bases'!$A$6:$A$33,0))</f>
        <v>0</v>
      </c>
      <c r="S94" s="195">
        <f>INDEX('Apportionment Bases'!AN$6:AN$33,MATCH('PC17'!$N94,'Apportionment Bases'!$A$6:$A$33,0))</f>
        <v>0.5</v>
      </c>
      <c r="T94" s="195">
        <f>INDEX('Apportionment Bases'!AO$6:AO$33,MATCH('PC17'!$N94,'Apportionment Bases'!$A$6:$A$33,0))</f>
        <v>0.5</v>
      </c>
      <c r="V94" s="72">
        <f t="shared" si="126"/>
        <v>0</v>
      </c>
      <c r="W94" s="72">
        <f t="shared" si="126"/>
        <v>0</v>
      </c>
      <c r="X94" s="72">
        <f t="shared" si="153"/>
        <v>0</v>
      </c>
      <c r="Y94" s="72">
        <f t="shared" si="154"/>
        <v>115251</v>
      </c>
      <c r="Z94" s="72">
        <f t="shared" si="155"/>
        <v>115251</v>
      </c>
      <c r="AA94" s="272" t="str">
        <f t="shared" si="127"/>
        <v>TRUE</v>
      </c>
      <c r="AH94" s="301"/>
      <c r="AO94" s="72">
        <f t="shared" si="128"/>
        <v>0</v>
      </c>
      <c r="AP94" s="72">
        <f t="shared" si="129"/>
        <v>0</v>
      </c>
      <c r="AQ94" s="72">
        <f t="shared" si="130"/>
        <v>0</v>
      </c>
      <c r="AR94" s="72">
        <f t="shared" si="131"/>
        <v>67790.638199999987</v>
      </c>
      <c r="AS94" s="72">
        <f t="shared" si="132"/>
        <v>115251</v>
      </c>
      <c r="AT94" s="301"/>
      <c r="AU94" s="72">
        <f t="shared" si="133"/>
        <v>0</v>
      </c>
      <c r="AV94" s="72">
        <f t="shared" si="134"/>
        <v>0</v>
      </c>
      <c r="AW94" s="72">
        <f t="shared" si="135"/>
        <v>0</v>
      </c>
      <c r="AX94" s="72">
        <f t="shared" si="136"/>
        <v>10326.489600000001</v>
      </c>
      <c r="AY94" s="72">
        <f t="shared" si="137"/>
        <v>0</v>
      </c>
      <c r="AZ94" s="301"/>
      <c r="BG94" s="72">
        <f t="shared" si="138"/>
        <v>0</v>
      </c>
      <c r="BH94" s="72">
        <f t="shared" si="139"/>
        <v>0</v>
      </c>
      <c r="BI94" s="72">
        <f t="shared" si="140"/>
        <v>0</v>
      </c>
      <c r="BJ94" s="72">
        <f t="shared" si="141"/>
        <v>23522.7291</v>
      </c>
      <c r="BK94" s="72">
        <f t="shared" si="142"/>
        <v>0</v>
      </c>
      <c r="BL94" s="301"/>
      <c r="CE94" s="72">
        <f t="shared" si="143"/>
        <v>0</v>
      </c>
      <c r="CF94" s="72">
        <f t="shared" si="144"/>
        <v>0</v>
      </c>
      <c r="CG94" s="72">
        <f t="shared" si="145"/>
        <v>0</v>
      </c>
      <c r="CH94" s="72">
        <f t="shared" si="146"/>
        <v>679.98090000000002</v>
      </c>
      <c r="CI94" s="72">
        <f t="shared" si="147"/>
        <v>0</v>
      </c>
      <c r="CJ94" s="301"/>
      <c r="CK94" s="72">
        <f t="shared" si="148"/>
        <v>0</v>
      </c>
      <c r="CL94" s="72">
        <f t="shared" si="149"/>
        <v>0</v>
      </c>
      <c r="CM94" s="72">
        <f t="shared" si="150"/>
        <v>0</v>
      </c>
      <c r="CN94" s="72">
        <f t="shared" si="151"/>
        <v>12931.162199999999</v>
      </c>
      <c r="CO94" s="72">
        <f t="shared" si="152"/>
        <v>0</v>
      </c>
      <c r="CP94" s="301"/>
    </row>
    <row r="95" spans="1:94" x14ac:dyDescent="0.25">
      <c r="A95" s="3" t="s">
        <v>246</v>
      </c>
      <c r="B95" s="3" t="s">
        <v>158</v>
      </c>
      <c r="C95" s="3" t="s">
        <v>45</v>
      </c>
      <c r="D95" s="3" t="s">
        <v>48</v>
      </c>
      <c r="E95" s="3" t="s">
        <v>48</v>
      </c>
      <c r="F95" s="3" t="s">
        <v>474</v>
      </c>
      <c r="G95" t="s">
        <v>159</v>
      </c>
      <c r="L95" s="705">
        <v>40653</v>
      </c>
      <c r="N95" s="209" t="s">
        <v>705</v>
      </c>
      <c r="P95" s="195">
        <f>INDEX('Apportionment Bases'!AK$6:AK$33,MATCH('PC17'!$N95,'Apportionment Bases'!$A$6:$A$33,0))</f>
        <v>0</v>
      </c>
      <c r="Q95" s="195">
        <f>INDEX('Apportionment Bases'!AL$6:AL$33,MATCH('PC17'!$N95,'Apportionment Bases'!$A$6:$A$33,0))</f>
        <v>0</v>
      </c>
      <c r="R95" s="195">
        <f>INDEX('Apportionment Bases'!AM$6:AM$33,MATCH('PC17'!$N95,'Apportionment Bases'!$A$6:$A$33,0))</f>
        <v>0</v>
      </c>
      <c r="S95" s="195">
        <f>INDEX('Apportionment Bases'!AN$6:AN$33,MATCH('PC17'!$N95,'Apportionment Bases'!$A$6:$A$33,0))</f>
        <v>0.5</v>
      </c>
      <c r="T95" s="195">
        <f>INDEX('Apportionment Bases'!AO$6:AO$33,MATCH('PC17'!$N95,'Apportionment Bases'!$A$6:$A$33,0))</f>
        <v>0.5</v>
      </c>
      <c r="V95" s="72">
        <f t="shared" si="126"/>
        <v>0</v>
      </c>
      <c r="W95" s="72">
        <f t="shared" si="126"/>
        <v>0</v>
      </c>
      <c r="X95" s="72">
        <f t="shared" si="153"/>
        <v>0</v>
      </c>
      <c r="Y95" s="72">
        <f t="shared" si="154"/>
        <v>20326.5</v>
      </c>
      <c r="Z95" s="72">
        <f t="shared" si="155"/>
        <v>20326.5</v>
      </c>
      <c r="AA95" s="273" t="str">
        <f t="shared" si="127"/>
        <v>TRUE</v>
      </c>
      <c r="AH95" s="301"/>
      <c r="AO95" s="72">
        <f t="shared" si="128"/>
        <v>0</v>
      </c>
      <c r="AP95" s="72">
        <f t="shared" si="129"/>
        <v>0</v>
      </c>
      <c r="AQ95" s="72">
        <f t="shared" si="130"/>
        <v>0</v>
      </c>
      <c r="AR95" s="72">
        <f t="shared" si="131"/>
        <v>11956.047299999998</v>
      </c>
      <c r="AS95" s="72">
        <f t="shared" si="132"/>
        <v>20326.5</v>
      </c>
      <c r="AT95" s="301"/>
      <c r="AU95" s="72">
        <f t="shared" si="133"/>
        <v>0</v>
      </c>
      <c r="AV95" s="72">
        <f t="shared" si="134"/>
        <v>0</v>
      </c>
      <c r="AW95" s="72">
        <f t="shared" si="135"/>
        <v>0</v>
      </c>
      <c r="AX95" s="72">
        <f t="shared" si="136"/>
        <v>1821.2544</v>
      </c>
      <c r="AY95" s="72">
        <f t="shared" si="137"/>
        <v>0</v>
      </c>
      <c r="AZ95" s="301"/>
      <c r="BG95" s="72">
        <f t="shared" si="138"/>
        <v>0</v>
      </c>
      <c r="BH95" s="72">
        <f t="shared" si="139"/>
        <v>0</v>
      </c>
      <c r="BI95" s="72">
        <f t="shared" si="140"/>
        <v>0</v>
      </c>
      <c r="BJ95" s="72">
        <f t="shared" si="141"/>
        <v>4148.6386499999999</v>
      </c>
      <c r="BK95" s="72">
        <f t="shared" si="142"/>
        <v>0</v>
      </c>
      <c r="BL95" s="301"/>
      <c r="CE95" s="72">
        <f t="shared" si="143"/>
        <v>0</v>
      </c>
      <c r="CF95" s="72">
        <f t="shared" si="144"/>
        <v>0</v>
      </c>
      <c r="CG95" s="72">
        <f t="shared" si="145"/>
        <v>0</v>
      </c>
      <c r="CH95" s="72">
        <f t="shared" si="146"/>
        <v>119.92635</v>
      </c>
      <c r="CI95" s="72">
        <f t="shared" si="147"/>
        <v>0</v>
      </c>
      <c r="CJ95" s="301"/>
      <c r="CK95" s="72">
        <f t="shared" si="148"/>
        <v>0</v>
      </c>
      <c r="CL95" s="72">
        <f t="shared" si="149"/>
        <v>0</v>
      </c>
      <c r="CM95" s="72">
        <f t="shared" si="150"/>
        <v>0</v>
      </c>
      <c r="CN95" s="72">
        <f t="shared" si="151"/>
        <v>2280.6333</v>
      </c>
      <c r="CO95" s="72">
        <f t="shared" si="152"/>
        <v>0</v>
      </c>
      <c r="CP95" s="301"/>
    </row>
    <row r="96" spans="1:94" ht="15.75" thickBot="1" x14ac:dyDescent="0.3">
      <c r="A96" s="27"/>
      <c r="B96" s="27"/>
      <c r="C96" s="27"/>
      <c r="D96" s="27"/>
      <c r="E96" s="27"/>
      <c r="F96" s="27"/>
      <c r="G96" s="28" t="s">
        <v>160</v>
      </c>
      <c r="H96" s="29"/>
      <c r="I96" s="28"/>
      <c r="J96" s="28"/>
      <c r="K96" s="28"/>
      <c r="L96" s="29">
        <f>SUM(L24:L95)</f>
        <v>4628361</v>
      </c>
      <c r="M96" s="28"/>
      <c r="N96" s="28"/>
      <c r="O96" s="28"/>
      <c r="P96" s="28"/>
      <c r="Q96" s="28"/>
      <c r="R96" s="28"/>
      <c r="S96" s="28"/>
      <c r="T96" s="28"/>
      <c r="U96" s="28"/>
      <c r="V96" s="29">
        <f>SUM(V24:V95)</f>
        <v>2184035.8400000003</v>
      </c>
      <c r="W96" s="29">
        <f t="shared" ref="W96:Z96" si="156">SUM(W24:W95)</f>
        <v>913989.32500000007</v>
      </c>
      <c r="X96" s="29">
        <f t="shared" si="156"/>
        <v>464232.34199999995</v>
      </c>
      <c r="Y96" s="29">
        <f t="shared" si="156"/>
        <v>531946.74650000001</v>
      </c>
      <c r="Z96" s="29">
        <f t="shared" si="156"/>
        <v>534156.74650000001</v>
      </c>
      <c r="AA96" s="270"/>
      <c r="AB96" s="29"/>
      <c r="AC96" s="29"/>
      <c r="AD96" s="29"/>
      <c r="AE96" s="29"/>
      <c r="AF96" s="29"/>
      <c r="AG96" s="29"/>
      <c r="AH96" s="303"/>
      <c r="AI96" s="29">
        <f t="shared" ref="AI96:AS96" si="157">SUM(AI24:AI95)</f>
        <v>0</v>
      </c>
      <c r="AJ96" s="29">
        <f t="shared" si="157"/>
        <v>0</v>
      </c>
      <c r="AK96" s="29">
        <f t="shared" si="157"/>
        <v>0</v>
      </c>
      <c r="AL96" s="29">
        <f t="shared" si="157"/>
        <v>0</v>
      </c>
      <c r="AM96" s="29">
        <f t="shared" si="157"/>
        <v>0</v>
      </c>
      <c r="AN96" s="29">
        <f t="shared" si="157"/>
        <v>0</v>
      </c>
      <c r="AO96" s="29">
        <f t="shared" si="157"/>
        <v>1388609.9870720003</v>
      </c>
      <c r="AP96" s="29">
        <f t="shared" si="157"/>
        <v>909809.60562366922</v>
      </c>
      <c r="AQ96" s="29">
        <f t="shared" si="157"/>
        <v>464232.34199999995</v>
      </c>
      <c r="AR96" s="29">
        <f t="shared" si="157"/>
        <v>312891.07629129989</v>
      </c>
      <c r="AS96" s="29">
        <f t="shared" si="157"/>
        <v>534156.74650000001</v>
      </c>
      <c r="AT96" s="303"/>
      <c r="AU96" s="29">
        <f>SUM(AU24:AU95)</f>
        <v>186298.25715200001</v>
      </c>
      <c r="AV96" s="29">
        <f>SUM(AV24:AV95)</f>
        <v>948.84434117848048</v>
      </c>
      <c r="AW96" s="29">
        <f>SUM(AW24:AW95)</f>
        <v>0</v>
      </c>
      <c r="AX96" s="29">
        <f>SUM(AX24:AX95)</f>
        <v>47662.428486400007</v>
      </c>
      <c r="AY96" s="29">
        <f>SUM(AY24:AY95)</f>
        <v>0</v>
      </c>
      <c r="AZ96" s="303"/>
      <c r="BA96" s="29">
        <f t="shared" ref="BA96:BK96" si="158">SUM(BA24:BA95)</f>
        <v>0</v>
      </c>
      <c r="BB96" s="29">
        <f t="shared" si="158"/>
        <v>0</v>
      </c>
      <c r="BC96" s="29">
        <f t="shared" si="158"/>
        <v>0</v>
      </c>
      <c r="BD96" s="29">
        <f t="shared" si="158"/>
        <v>0</v>
      </c>
      <c r="BE96" s="29">
        <f t="shared" si="158"/>
        <v>0</v>
      </c>
      <c r="BF96" s="29">
        <f t="shared" si="158"/>
        <v>0</v>
      </c>
      <c r="BG96" s="29">
        <f t="shared" si="158"/>
        <v>323237.30431999994</v>
      </c>
      <c r="BH96" s="29">
        <f t="shared" si="158"/>
        <v>1693.5069886856425</v>
      </c>
      <c r="BI96" s="29">
        <f t="shared" si="158"/>
        <v>0</v>
      </c>
      <c r="BJ96" s="29">
        <f t="shared" si="158"/>
        <v>108570.33096064998</v>
      </c>
      <c r="BK96" s="29">
        <f t="shared" si="158"/>
        <v>0</v>
      </c>
      <c r="BL96" s="303"/>
      <c r="BM96" s="29">
        <f t="shared" ref="BM96:CO96" si="159">SUM(BM24:BM95)</f>
        <v>0</v>
      </c>
      <c r="BN96" s="29">
        <f t="shared" si="159"/>
        <v>0</v>
      </c>
      <c r="BO96" s="29">
        <f t="shared" si="159"/>
        <v>0</v>
      </c>
      <c r="BP96" s="29">
        <f t="shared" si="159"/>
        <v>0</v>
      </c>
      <c r="BQ96" s="29">
        <f t="shared" si="159"/>
        <v>0</v>
      </c>
      <c r="BR96" s="29">
        <f t="shared" si="159"/>
        <v>0</v>
      </c>
      <c r="BS96" s="29">
        <f t="shared" si="159"/>
        <v>0</v>
      </c>
      <c r="BT96" s="29">
        <f t="shared" si="159"/>
        <v>0</v>
      </c>
      <c r="BU96" s="29">
        <f t="shared" si="159"/>
        <v>0</v>
      </c>
      <c r="BV96" s="29">
        <f t="shared" si="159"/>
        <v>0</v>
      </c>
      <c r="BW96" s="29">
        <f t="shared" si="159"/>
        <v>0</v>
      </c>
      <c r="BX96" s="29">
        <f t="shared" si="159"/>
        <v>0</v>
      </c>
      <c r="BY96" s="29">
        <f t="shared" si="159"/>
        <v>0</v>
      </c>
      <c r="BZ96" s="29">
        <f t="shared" si="159"/>
        <v>0</v>
      </c>
      <c r="CA96" s="29">
        <f t="shared" si="159"/>
        <v>0</v>
      </c>
      <c r="CB96" s="29">
        <f t="shared" si="159"/>
        <v>0</v>
      </c>
      <c r="CC96" s="29">
        <f t="shared" si="159"/>
        <v>0</v>
      </c>
      <c r="CD96" s="29">
        <f t="shared" si="159"/>
        <v>0</v>
      </c>
      <c r="CE96" s="29">
        <f t="shared" si="159"/>
        <v>8080.9326079999983</v>
      </c>
      <c r="CF96" s="29">
        <f t="shared" si="159"/>
        <v>48.042751452074953</v>
      </c>
      <c r="CG96" s="29">
        <f t="shared" si="159"/>
        <v>0</v>
      </c>
      <c r="CH96" s="29">
        <f t="shared" si="159"/>
        <v>3138.4858043499994</v>
      </c>
      <c r="CI96" s="29">
        <f t="shared" si="159"/>
        <v>0</v>
      </c>
      <c r="CJ96" s="303">
        <f t="shared" si="159"/>
        <v>0</v>
      </c>
      <c r="CK96" s="29">
        <f t="shared" si="159"/>
        <v>277809.358848</v>
      </c>
      <c r="CL96" s="29">
        <f t="shared" si="159"/>
        <v>1489.325295014324</v>
      </c>
      <c r="CM96" s="29">
        <f t="shared" si="159"/>
        <v>0</v>
      </c>
      <c r="CN96" s="29">
        <f t="shared" si="159"/>
        <v>59684.424957299998</v>
      </c>
      <c r="CO96" s="29">
        <f t="shared" si="159"/>
        <v>0</v>
      </c>
      <c r="CP96" s="301"/>
    </row>
    <row r="97" spans="1:94" ht="15.75" thickTop="1" x14ac:dyDescent="0.25">
      <c r="G97" s="266" t="s">
        <v>696</v>
      </c>
      <c r="H97" s="539"/>
      <c r="I97" s="266"/>
      <c r="J97" s="266"/>
      <c r="K97" s="266"/>
      <c r="L97" s="539">
        <v>53</v>
      </c>
      <c r="AH97" s="301"/>
      <c r="AT97" s="301"/>
      <c r="AZ97" s="301"/>
      <c r="BL97" s="301"/>
      <c r="CJ97" s="301"/>
      <c r="CP97" s="301"/>
    </row>
    <row r="98" spans="1:94" ht="15.75" thickBot="1" x14ac:dyDescent="0.3">
      <c r="A98" s="27"/>
      <c r="B98" s="27"/>
      <c r="C98" s="27"/>
      <c r="D98" s="27"/>
      <c r="E98" s="27"/>
      <c r="F98" s="27"/>
      <c r="G98" s="28" t="s">
        <v>161</v>
      </c>
      <c r="H98" s="29"/>
      <c r="I98" s="28"/>
      <c r="J98" s="28"/>
      <c r="K98" s="28"/>
      <c r="L98" s="29">
        <f>L96+L21+L97</f>
        <v>7849617</v>
      </c>
      <c r="M98" s="28"/>
      <c r="N98" s="28"/>
      <c r="O98" s="28"/>
      <c r="P98" s="28"/>
      <c r="Q98" s="28"/>
      <c r="R98" s="28"/>
      <c r="S98" s="28"/>
      <c r="T98" s="28"/>
      <c r="U98" s="28"/>
      <c r="V98" s="29">
        <f>V96+V21</f>
        <v>3541699.5500000003</v>
      </c>
      <c r="W98" s="29">
        <f>W96+W21</f>
        <v>2132453.42</v>
      </c>
      <c r="X98" s="29">
        <f>X96+X21</f>
        <v>849268.00699999998</v>
      </c>
      <c r="Y98" s="29">
        <f>Y96+Y21</f>
        <v>661966.51150000002</v>
      </c>
      <c r="Z98" s="29">
        <f>Z96+Z21</f>
        <v>664176.51150000002</v>
      </c>
      <c r="AA98" s="270"/>
      <c r="AB98" s="29"/>
      <c r="AC98" s="29"/>
      <c r="AD98" s="29"/>
      <c r="AE98" s="29"/>
      <c r="AF98" s="29"/>
      <c r="AG98" s="29"/>
      <c r="AH98" s="303"/>
      <c r="AI98" s="29">
        <f t="shared" ref="AI98:AS98" si="160">AI96+AI21</f>
        <v>0</v>
      </c>
      <c r="AJ98" s="29">
        <f t="shared" si="160"/>
        <v>0</v>
      </c>
      <c r="AK98" s="29">
        <f t="shared" si="160"/>
        <v>0</v>
      </c>
      <c r="AL98" s="29">
        <f t="shared" si="160"/>
        <v>0</v>
      </c>
      <c r="AM98" s="29">
        <f t="shared" si="160"/>
        <v>0</v>
      </c>
      <c r="AN98" s="29">
        <f t="shared" si="160"/>
        <v>0</v>
      </c>
      <c r="AO98" s="29">
        <f>AO96+AO21</f>
        <v>2251812.5738900006</v>
      </c>
      <c r="AP98" s="29">
        <f t="shared" si="160"/>
        <v>2122701.6027359455</v>
      </c>
      <c r="AQ98" s="29">
        <f t="shared" si="160"/>
        <v>849268.00699999998</v>
      </c>
      <c r="AR98" s="29">
        <f t="shared" si="160"/>
        <v>389368.7020642999</v>
      </c>
      <c r="AS98" s="29">
        <f t="shared" si="160"/>
        <v>664176.51150000002</v>
      </c>
      <c r="AT98" s="303"/>
      <c r="AU98" s="29">
        <f>AU96+AU21</f>
        <v>302106.97161499999</v>
      </c>
      <c r="AV98" s="29">
        <f>AV96+AV21</f>
        <v>2213.774608793924</v>
      </c>
      <c r="AW98" s="29">
        <f>AW96+AW21</f>
        <v>0</v>
      </c>
      <c r="AX98" s="29">
        <f>AX96+AX21</f>
        <v>59312.199430400011</v>
      </c>
      <c r="AY98" s="29">
        <f>AY96+AY21</f>
        <v>0</v>
      </c>
      <c r="AZ98" s="303"/>
      <c r="BA98" s="29">
        <f t="shared" ref="BA98:BK98" si="161">BA96+BA21</f>
        <v>0</v>
      </c>
      <c r="BB98" s="29">
        <f t="shared" si="161"/>
        <v>0</v>
      </c>
      <c r="BC98" s="29">
        <f t="shared" si="161"/>
        <v>0</v>
      </c>
      <c r="BD98" s="29">
        <f t="shared" si="161"/>
        <v>0</v>
      </c>
      <c r="BE98" s="29">
        <f t="shared" si="161"/>
        <v>0</v>
      </c>
      <c r="BF98" s="29">
        <f t="shared" si="161"/>
        <v>0</v>
      </c>
      <c r="BG98" s="29">
        <f t="shared" si="161"/>
        <v>524171.53339999996</v>
      </c>
      <c r="BH98" s="29">
        <f t="shared" si="161"/>
        <v>3951.1673397461172</v>
      </c>
      <c r="BI98" s="29">
        <f t="shared" si="161"/>
        <v>0</v>
      </c>
      <c r="BJ98" s="29">
        <f t="shared" si="161"/>
        <v>135107.36499714997</v>
      </c>
      <c r="BK98" s="29">
        <f t="shared" si="161"/>
        <v>0</v>
      </c>
      <c r="BL98" s="303"/>
      <c r="BM98" s="29">
        <f t="shared" ref="BM98:CO98" si="162">BM96+BM21</f>
        <v>0</v>
      </c>
      <c r="BN98" s="29">
        <f t="shared" si="162"/>
        <v>0</v>
      </c>
      <c r="BO98" s="29">
        <f t="shared" si="162"/>
        <v>0</v>
      </c>
      <c r="BP98" s="29">
        <f t="shared" si="162"/>
        <v>0</v>
      </c>
      <c r="BQ98" s="29">
        <f t="shared" si="162"/>
        <v>0</v>
      </c>
      <c r="BR98" s="29">
        <f t="shared" si="162"/>
        <v>0</v>
      </c>
      <c r="BS98" s="29">
        <f t="shared" si="162"/>
        <v>0</v>
      </c>
      <c r="BT98" s="29">
        <f t="shared" si="162"/>
        <v>0</v>
      </c>
      <c r="BU98" s="29">
        <f t="shared" si="162"/>
        <v>0</v>
      </c>
      <c r="BV98" s="29">
        <f t="shared" si="162"/>
        <v>0</v>
      </c>
      <c r="BW98" s="29">
        <f t="shared" si="162"/>
        <v>0</v>
      </c>
      <c r="BX98" s="29">
        <f t="shared" si="162"/>
        <v>0</v>
      </c>
      <c r="BY98" s="29">
        <f t="shared" si="162"/>
        <v>0</v>
      </c>
      <c r="BZ98" s="29">
        <f t="shared" si="162"/>
        <v>0</v>
      </c>
      <c r="CA98" s="29">
        <f t="shared" si="162"/>
        <v>0</v>
      </c>
      <c r="CB98" s="29">
        <f t="shared" si="162"/>
        <v>0</v>
      </c>
      <c r="CC98" s="29">
        <f t="shared" si="162"/>
        <v>0</v>
      </c>
      <c r="CD98" s="29">
        <f t="shared" si="162"/>
        <v>0</v>
      </c>
      <c r="CE98" s="29">
        <f t="shared" si="162"/>
        <v>13104.288334999997</v>
      </c>
      <c r="CF98" s="29">
        <f t="shared" si="162"/>
        <v>112.08985360981892</v>
      </c>
      <c r="CG98" s="29">
        <f t="shared" si="162"/>
        <v>0</v>
      </c>
      <c r="CH98" s="29">
        <f t="shared" si="162"/>
        <v>3905.6024178499993</v>
      </c>
      <c r="CI98" s="29">
        <f t="shared" si="162"/>
        <v>0</v>
      </c>
      <c r="CJ98" s="303">
        <f t="shared" si="162"/>
        <v>0</v>
      </c>
      <c r="CK98" s="29">
        <f t="shared" si="162"/>
        <v>450504.18276</v>
      </c>
      <c r="CL98" s="29">
        <f t="shared" si="162"/>
        <v>3474.7854619043865</v>
      </c>
      <c r="CM98" s="29">
        <f t="shared" si="162"/>
        <v>0</v>
      </c>
      <c r="CN98" s="29">
        <f t="shared" si="162"/>
        <v>74272.642590299991</v>
      </c>
      <c r="CO98" s="29">
        <f t="shared" si="162"/>
        <v>0</v>
      </c>
      <c r="CP98" s="301"/>
    </row>
    <row r="99" spans="1:94" ht="15.75" thickTop="1" x14ac:dyDescent="0.25">
      <c r="AH99" s="301"/>
      <c r="AO99" s="298">
        <f>AO98/V$98</f>
        <v>0.63580000000000014</v>
      </c>
      <c r="AP99" s="298">
        <f>AP98/W$98</f>
        <v>0.99542694945990684</v>
      </c>
      <c r="AQ99" s="298">
        <f t="shared" ref="AQ99:AS99" si="163">AQ98/X$98</f>
        <v>1</v>
      </c>
      <c r="AR99" s="298">
        <f t="shared" si="163"/>
        <v>0.58819999999999983</v>
      </c>
      <c r="AS99" s="298">
        <f t="shared" si="163"/>
        <v>1</v>
      </c>
      <c r="AT99" s="301"/>
      <c r="AU99" s="298">
        <f>AU98/V$98</f>
        <v>8.5299999999999987E-2</v>
      </c>
      <c r="AV99" s="298">
        <f t="shared" ref="AV99:AY99" si="164">AV98/W$98</f>
        <v>1.0381350364004312E-3</v>
      </c>
      <c r="AW99" s="298">
        <f t="shared" si="164"/>
        <v>0</v>
      </c>
      <c r="AX99" s="298">
        <f t="shared" si="164"/>
        <v>8.9600000000000013E-2</v>
      </c>
      <c r="AY99" s="298">
        <f t="shared" si="164"/>
        <v>0</v>
      </c>
      <c r="AZ99" s="301"/>
      <c r="BG99" s="298">
        <f>BG98/V$98</f>
        <v>0.14799999999999996</v>
      </c>
      <c r="BH99" s="298">
        <f t="shared" ref="BH99:BK99" si="165">BH98/W$98</f>
        <v>1.8528739257273519E-3</v>
      </c>
      <c r="BI99" s="298">
        <f t="shared" si="165"/>
        <v>0</v>
      </c>
      <c r="BJ99" s="298">
        <f t="shared" si="165"/>
        <v>0.20409999999999995</v>
      </c>
      <c r="BK99" s="298">
        <f t="shared" si="165"/>
        <v>0</v>
      </c>
      <c r="BL99" s="301"/>
      <c r="CE99" s="298">
        <f>CE98/V$98</f>
        <v>3.6999999999999989E-3</v>
      </c>
      <c r="CF99" s="298">
        <f t="shared" ref="CF99:CI99" si="166">CF98/W$98</f>
        <v>5.2563799311414228E-5</v>
      </c>
      <c r="CG99" s="298">
        <f t="shared" si="166"/>
        <v>0</v>
      </c>
      <c r="CH99" s="298">
        <f t="shared" si="166"/>
        <v>5.899999999999999E-3</v>
      </c>
      <c r="CI99" s="298">
        <f t="shared" si="166"/>
        <v>0</v>
      </c>
      <c r="CJ99" s="301"/>
      <c r="CK99" s="298">
        <f>CK98/V$98</f>
        <v>0.12719999999999998</v>
      </c>
      <c r="CL99" s="298">
        <f t="shared" ref="CL99:CN99" si="167">CL98/W$98</f>
        <v>1.6294777786538411E-3</v>
      </c>
      <c r="CM99" s="298">
        <f t="shared" si="167"/>
        <v>0</v>
      </c>
      <c r="CN99" s="298">
        <f t="shared" si="167"/>
        <v>0.11219999999999998</v>
      </c>
      <c r="CO99" s="298">
        <f>CO98/Z$98</f>
        <v>0</v>
      </c>
      <c r="CP99" s="301"/>
    </row>
    <row r="100" spans="1:94" x14ac:dyDescent="0.25">
      <c r="AH100" s="301"/>
      <c r="AO100" s="54" t="str">
        <f>IF(AO99=AC$7,"TRUE","FALSE")</f>
        <v>TRUE</v>
      </c>
      <c r="AP100" s="54" t="str">
        <f t="shared" ref="AP100:AS100" si="168">IF(AP99=AD$7,"TRUE","FALSE")</f>
        <v>TRUE</v>
      </c>
      <c r="AQ100" s="54" t="str">
        <f t="shared" si="168"/>
        <v>TRUE</v>
      </c>
      <c r="AR100" s="54" t="str">
        <f t="shared" si="168"/>
        <v>TRUE</v>
      </c>
      <c r="AS100" s="54" t="str">
        <f t="shared" si="168"/>
        <v>TRUE</v>
      </c>
      <c r="AT100" s="301"/>
      <c r="AU100" s="54" t="str">
        <f>IF(AU99=AC$8,"TRUE","FALSE")</f>
        <v>TRUE</v>
      </c>
      <c r="AV100" s="54" t="str">
        <f t="shared" ref="AV100:AY100" si="169">IF(AV99=AD$8,"TRUE","FALSE")</f>
        <v>TRUE</v>
      </c>
      <c r="AW100" s="54" t="str">
        <f t="shared" si="169"/>
        <v>TRUE</v>
      </c>
      <c r="AX100" s="54" t="str">
        <f t="shared" si="169"/>
        <v>TRUE</v>
      </c>
      <c r="AY100" s="54" t="str">
        <f t="shared" si="169"/>
        <v>TRUE</v>
      </c>
      <c r="AZ100" s="301"/>
      <c r="BG100" s="54" t="str">
        <f>IF(BG99=AC$9,"TRUE","FALSE")</f>
        <v>TRUE</v>
      </c>
      <c r="BH100" s="54" t="str">
        <f t="shared" ref="BH100:BK100" si="170">IF(BH99=AD$9,"TRUE","FALSE")</f>
        <v>TRUE</v>
      </c>
      <c r="BI100" s="54" t="str">
        <f t="shared" si="170"/>
        <v>TRUE</v>
      </c>
      <c r="BJ100" s="54" t="str">
        <f t="shared" si="170"/>
        <v>TRUE</v>
      </c>
      <c r="BK100" s="54" t="str">
        <f t="shared" si="170"/>
        <v>TRUE</v>
      </c>
      <c r="BL100" s="301"/>
      <c r="CE100" s="54" t="str">
        <f>IF(CE99=AC$10,"TRUE","FALSE")</f>
        <v>TRUE</v>
      </c>
      <c r="CF100" s="54" t="str">
        <f t="shared" ref="CF100:CI100" si="171">IF(CF99=AD$10,"TRUE","FALSE")</f>
        <v>TRUE</v>
      </c>
      <c r="CG100" s="54" t="str">
        <f t="shared" si="171"/>
        <v>TRUE</v>
      </c>
      <c r="CH100" s="54" t="str">
        <f t="shared" si="171"/>
        <v>TRUE</v>
      </c>
      <c r="CI100" s="54" t="str">
        <f t="shared" si="171"/>
        <v>TRUE</v>
      </c>
      <c r="CJ100" s="301"/>
      <c r="CK100" s="54" t="str">
        <f>IF(CK99=AC$11,"TRUE","FALSE")</f>
        <v>TRUE</v>
      </c>
      <c r="CL100" s="54" t="str">
        <f t="shared" ref="CL100:CO100" si="172">IF(CL99=AD$11,"TRUE","FALSE")</f>
        <v>TRUE</v>
      </c>
      <c r="CM100" s="54" t="str">
        <f t="shared" si="172"/>
        <v>TRUE</v>
      </c>
      <c r="CN100" s="54" t="str">
        <f t="shared" si="172"/>
        <v>TRUE</v>
      </c>
      <c r="CO100" s="54" t="str">
        <f t="shared" si="172"/>
        <v>TRUE</v>
      </c>
      <c r="CP100" s="301"/>
    </row>
    <row r="101" spans="1:94" ht="8.25" customHeight="1" x14ac:dyDescent="0.25">
      <c r="AH101" s="301"/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301"/>
      <c r="AX101" s="301"/>
      <c r="AY101" s="301"/>
      <c r="AZ101" s="301"/>
      <c r="BA101" s="301"/>
      <c r="BB101" s="301"/>
      <c r="BC101" s="301"/>
      <c r="BD101" s="301"/>
      <c r="BE101" s="301"/>
      <c r="BF101" s="301"/>
      <c r="BG101" s="301"/>
      <c r="BH101" s="301"/>
      <c r="BI101" s="301"/>
      <c r="BJ101" s="301"/>
      <c r="BK101" s="301"/>
      <c r="BL101" s="301"/>
      <c r="BM101" s="301"/>
      <c r="BN101" s="301"/>
      <c r="BO101" s="301"/>
      <c r="BP101" s="301"/>
      <c r="BQ101" s="301"/>
      <c r="BR101" s="301"/>
      <c r="BS101" s="301"/>
      <c r="BT101" s="301"/>
      <c r="BU101" s="301"/>
      <c r="BV101" s="301"/>
      <c r="BW101" s="301"/>
      <c r="BX101" s="301"/>
      <c r="BY101" s="301"/>
      <c r="BZ101" s="301"/>
      <c r="CA101" s="301"/>
      <c r="CB101" s="301"/>
      <c r="CC101" s="301"/>
      <c r="CD101" s="301"/>
      <c r="CE101" s="301"/>
      <c r="CF101" s="301"/>
      <c r="CG101" s="301"/>
      <c r="CH101" s="301"/>
      <c r="CI101" s="301"/>
      <c r="CJ101" s="301"/>
      <c r="CK101" s="301"/>
      <c r="CL101" s="301"/>
      <c r="CM101" s="301"/>
      <c r="CN101" s="301"/>
      <c r="CO101" s="301"/>
      <c r="CP101" s="301"/>
    </row>
    <row r="108" spans="1:94" x14ac:dyDescent="0.25">
      <c r="AA108" s="274"/>
    </row>
  </sheetData>
  <dataConsolidate/>
  <mergeCells count="17">
    <mergeCell ref="A1:N1"/>
    <mergeCell ref="A2:N2"/>
    <mergeCell ref="A23:G23"/>
    <mergeCell ref="A6:G6"/>
    <mergeCell ref="AU4:AY4"/>
    <mergeCell ref="P4:T4"/>
    <mergeCell ref="AO4:AS4"/>
    <mergeCell ref="AB4:AG4"/>
    <mergeCell ref="V4:Z4"/>
    <mergeCell ref="AI4:AM4"/>
    <mergeCell ref="CE4:CI4"/>
    <mergeCell ref="CK4:CO4"/>
    <mergeCell ref="BA4:BE4"/>
    <mergeCell ref="BG4:BK4"/>
    <mergeCell ref="BM4:BQ4"/>
    <mergeCell ref="BS4:BW4"/>
    <mergeCell ref="BY4:CC4"/>
  </mergeCells>
  <conditionalFormatting sqref="N7:N20">
    <cfRule type="containsText" dxfId="812" priority="50" operator="containsText" text="Insurance">
      <formula>NOT(ISERROR(SEARCH("Insurance",N7)))</formula>
    </cfRule>
    <cfRule type="containsText" dxfId="811" priority="51" operator="containsText" text="Region 9">
      <formula>NOT(ISERROR(SEARCH("Region 9",N7)))</formula>
    </cfRule>
    <cfRule type="containsText" dxfId="810" priority="52" operator="containsText" text="ETM">
      <formula>NOT(ISERROR(SEARCH("ETM",N7)))</formula>
    </cfRule>
    <cfRule type="containsText" dxfId="809" priority="53" operator="containsText" text="Outfall">
      <formula>NOT(ISERROR(SEARCH("Outfall",N7)))</formula>
    </cfRule>
    <cfRule type="containsText" dxfId="808" priority="54" operator="containsText" text="Petroleum">
      <formula>NOT(ISERROR(SEARCH("Petroleum",N7)))</formula>
    </cfRule>
    <cfRule type="containsText" dxfId="807" priority="55" operator="containsText" text="Laboratory">
      <formula>NOT(ISERROR(SEARCH("Laboratory",N7)))</formula>
    </cfRule>
    <cfRule type="containsText" dxfId="806" priority="56" operator="containsText" text="Odor Control">
      <formula>NOT(ISERROR(SEARCH("Odor Control",N7)))</formula>
    </cfRule>
    <cfRule type="containsText" dxfId="805" priority="57" operator="containsText" text="Ferric">
      <formula>NOT(ISERROR(SEARCH("Ferric",N7)))</formula>
    </cfRule>
    <cfRule type="containsText" dxfId="804" priority="58" operator="containsText" text="Chlorine">
      <formula>NOT(ISERROR(SEARCH("Chlorine",N7)))</formula>
    </cfRule>
    <cfRule type="containsText" dxfId="803" priority="59" operator="containsText" text="Potable">
      <formula>NOT(ISERROR(SEARCH("Potable",N7)))</formula>
    </cfRule>
    <cfRule type="containsText" dxfId="802" priority="60" operator="containsText" text="Natural Gas">
      <formula>NOT(ISERROR(SEARCH("Natural Gas",N7)))</formula>
    </cfRule>
    <cfRule type="containsText" dxfId="801" priority="61" operator="containsText" text="Electricity">
      <formula>NOT(ISERROR(SEARCH("Electricity",N7)))</formula>
    </cfRule>
    <cfRule type="containsText" dxfId="800" priority="62" operator="containsText" text="Single Area">
      <formula>NOT(ISERROR(SEARCH("Single Area",N7)))</formula>
    </cfRule>
    <cfRule type="containsText" dxfId="799" priority="63" operator="containsText" text="Actual Use">
      <formula>NOT(ISERROR(SEARCH("Actual Use",N7)))</formula>
    </cfRule>
    <cfRule type="containsText" dxfId="798" priority="64" operator="containsText" text="Labor -">
      <formula>NOT(ISERROR(SEARCH("Labor -",N7)))</formula>
    </cfRule>
  </conditionalFormatting>
  <conditionalFormatting sqref="N24:N29 N31:N95">
    <cfRule type="containsText" dxfId="797" priority="20" operator="containsText" text="Insurance">
      <formula>NOT(ISERROR(SEARCH("Insurance",N24)))</formula>
    </cfRule>
    <cfRule type="containsText" dxfId="796" priority="21" operator="containsText" text="Region 9">
      <formula>NOT(ISERROR(SEARCH("Region 9",N24)))</formula>
    </cfRule>
    <cfRule type="containsText" dxfId="795" priority="22" operator="containsText" text="ETM">
      <formula>NOT(ISERROR(SEARCH("ETM",N24)))</formula>
    </cfRule>
    <cfRule type="containsText" dxfId="794" priority="23" operator="containsText" text="Outfall">
      <formula>NOT(ISERROR(SEARCH("Outfall",N24)))</formula>
    </cfRule>
    <cfRule type="containsText" dxfId="793" priority="24" operator="containsText" text="Petroleum">
      <formula>NOT(ISERROR(SEARCH("Petroleum",N24)))</formula>
    </cfRule>
    <cfRule type="containsText" dxfId="792" priority="25" operator="containsText" text="Laboratory">
      <formula>NOT(ISERROR(SEARCH("Laboratory",N24)))</formula>
    </cfRule>
    <cfRule type="containsText" dxfId="791" priority="26" operator="containsText" text="Odor Control">
      <formula>NOT(ISERROR(SEARCH("Odor Control",N24)))</formula>
    </cfRule>
    <cfRule type="containsText" dxfId="790" priority="27" operator="containsText" text="Ferric">
      <formula>NOT(ISERROR(SEARCH("Ferric",N24)))</formula>
    </cfRule>
    <cfRule type="containsText" dxfId="789" priority="28" operator="containsText" text="Chlorine">
      <formula>NOT(ISERROR(SEARCH("Chlorine",N24)))</formula>
    </cfRule>
    <cfRule type="containsText" dxfId="788" priority="29" operator="containsText" text="Potable">
      <formula>NOT(ISERROR(SEARCH("Potable",N24)))</formula>
    </cfRule>
    <cfRule type="containsText" dxfId="787" priority="30" operator="containsText" text="Natural Gas">
      <formula>NOT(ISERROR(SEARCH("Natural Gas",N24)))</formula>
    </cfRule>
    <cfRule type="containsText" dxfId="786" priority="31" operator="containsText" text="Electricity">
      <formula>NOT(ISERROR(SEARCH("Electricity",N24)))</formula>
    </cfRule>
    <cfRule type="containsText" dxfId="785" priority="32" operator="containsText" text="Single Area">
      <formula>NOT(ISERROR(SEARCH("Single Area",N24)))</formula>
    </cfRule>
    <cfRule type="containsText" dxfId="784" priority="33" operator="containsText" text="Actual Use">
      <formula>NOT(ISERROR(SEARCH("Actual Use",N24)))</formula>
    </cfRule>
    <cfRule type="containsText" dxfId="783" priority="34" operator="containsText" text="Labor -">
      <formula>NOT(ISERROR(SEARCH("Labor -",N24)))</formula>
    </cfRule>
  </conditionalFormatting>
  <conditionalFormatting sqref="N30">
    <cfRule type="containsText" dxfId="782" priority="5" operator="containsText" text="Insurance">
      <formula>NOT(ISERROR(SEARCH("Insurance",N30)))</formula>
    </cfRule>
    <cfRule type="containsText" dxfId="781" priority="6" operator="containsText" text="Region 9">
      <formula>NOT(ISERROR(SEARCH("Region 9",N30)))</formula>
    </cfRule>
    <cfRule type="containsText" dxfId="780" priority="7" operator="containsText" text="ETM">
      <formula>NOT(ISERROR(SEARCH("ETM",N30)))</formula>
    </cfRule>
    <cfRule type="containsText" dxfId="779" priority="8" operator="containsText" text="Outfall">
      <formula>NOT(ISERROR(SEARCH("Outfall",N30)))</formula>
    </cfRule>
    <cfRule type="containsText" dxfId="778" priority="9" operator="containsText" text="Petroleum">
      <formula>NOT(ISERROR(SEARCH("Petroleum",N30)))</formula>
    </cfRule>
    <cfRule type="containsText" dxfId="777" priority="10" operator="containsText" text="Laboratory">
      <formula>NOT(ISERROR(SEARCH("Laboratory",N30)))</formula>
    </cfRule>
    <cfRule type="containsText" dxfId="776" priority="11" operator="containsText" text="Odor Control">
      <formula>NOT(ISERROR(SEARCH("Odor Control",N30)))</formula>
    </cfRule>
    <cfRule type="containsText" dxfId="775" priority="12" operator="containsText" text="Ferric">
      <formula>NOT(ISERROR(SEARCH("Ferric",N30)))</formula>
    </cfRule>
    <cfRule type="containsText" dxfId="774" priority="13" operator="containsText" text="Chlorine">
      <formula>NOT(ISERROR(SEARCH("Chlorine",N30)))</formula>
    </cfRule>
    <cfRule type="containsText" dxfId="773" priority="14" operator="containsText" text="Potable">
      <formula>NOT(ISERROR(SEARCH("Potable",N30)))</formula>
    </cfRule>
    <cfRule type="containsText" dxfId="772" priority="15" operator="containsText" text="Natural Gas">
      <formula>NOT(ISERROR(SEARCH("Natural Gas",N30)))</formula>
    </cfRule>
    <cfRule type="containsText" dxfId="771" priority="16" operator="containsText" text="Electricity">
      <formula>NOT(ISERROR(SEARCH("Electricity",N30)))</formula>
    </cfRule>
    <cfRule type="containsText" dxfId="770" priority="18" operator="containsText" text="Actual Use">
      <formula>NOT(ISERROR(SEARCH("Actual Use",N30)))</formula>
    </cfRule>
    <cfRule type="containsText" dxfId="769" priority="19" operator="containsText" text="Labor -">
      <formula>NOT(ISERROR(SEARCH("Labor -",N30)))</formula>
    </cfRule>
  </conditionalFormatting>
  <conditionalFormatting sqref="N30">
    <cfRule type="containsText" dxfId="768" priority="4" operator="containsText" text="Polymer Products">
      <formula>NOT(ISERROR(SEARCH("Polymer Products",N30)))</formula>
    </cfRule>
  </conditionalFormatting>
  <conditionalFormatting sqref="N7:N95">
    <cfRule type="containsText" dxfId="767" priority="1" operator="containsText" text="AWT">
      <formula>NOT(ISERROR(SEARCH("AWT",N7)))</formula>
    </cfRule>
    <cfRule type="containsText" dxfId="766" priority="2" operator="containsText" text="Solids">
      <formula>NOT(ISERROR(SEARCH("Solids",N7)))</formula>
    </cfRule>
    <cfRule type="containsText" dxfId="765" priority="17" operator="containsText" text="Common">
      <formula>NOT(ISERROR(SEARCH("Common",N7)))</formula>
    </cfRule>
  </conditionalFormatting>
  <conditionalFormatting sqref="N1:N1048576">
    <cfRule type="containsText" dxfId="764" priority="3" operator="containsText" text="Liquids">
      <formula>NOT(ISERROR(SEARCH("Liquids",N1)))</formula>
    </cfRule>
  </conditionalFormatting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0000000}">
          <x14:formula1>
            <xm:f>'Apportionment Bases'!$A$6:$A$33</xm:f>
          </x14:formula1>
          <xm:sqref>N24:N95 N7:N20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BW26"/>
  <sheetViews>
    <sheetView showGridLines="0" zoomScale="90" zoomScaleNormal="90" workbookViewId="0">
      <pane xSplit="14" topLeftCell="O1" activePane="topRight" state="frozen"/>
      <selection activeCell="B37" sqref="B37:L37"/>
      <selection pane="topRight" activeCell="L21" sqref="L21"/>
    </sheetView>
  </sheetViews>
  <sheetFormatPr defaultRowHeight="15" outlineLevelCol="1" x14ac:dyDescent="0.25"/>
  <cols>
    <col min="1" max="1" width="3.7109375" style="3" bestFit="1" customWidth="1"/>
    <col min="2" max="2" width="13.42578125" style="3" bestFit="1" customWidth="1"/>
    <col min="3" max="3" width="5.5703125" style="3" hidden="1" customWidth="1" outlineLevel="1"/>
    <col min="4" max="4" width="4.85546875" style="3" hidden="1" customWidth="1" outlineLevel="1"/>
    <col min="5" max="5" width="4" style="3" hidden="1" customWidth="1" outlineLevel="1"/>
    <col min="6" max="6" width="17.140625" hidden="1" customWidth="1" outlineLevel="1"/>
    <col min="7" max="7" width="40.140625" bestFit="1" customWidth="1" collapsed="1"/>
    <col min="8" max="11" width="9" hidden="1" customWidth="1" outlineLevel="1"/>
    <col min="12" max="12" width="9.85546875" bestFit="1" customWidth="1" collapsed="1"/>
    <col min="13" max="13" width="2.42578125" customWidth="1"/>
    <col min="14" max="14" width="26.85546875" bestFit="1" customWidth="1"/>
    <col min="15" max="15" width="2.42578125" customWidth="1"/>
    <col min="16" max="17" width="12" customWidth="1"/>
    <col min="18" max="18" width="2.5703125" customWidth="1"/>
    <col min="19" max="20" width="11.5703125" customWidth="1"/>
    <col min="21" max="21" width="7.140625" customWidth="1"/>
    <col min="22" max="22" width="7.5703125" bestFit="1" customWidth="1"/>
    <col min="23" max="23" width="12.85546875" customWidth="1"/>
    <col min="24" max="24" width="12.7109375" customWidth="1"/>
    <col min="25" max="25" width="1.85546875" customWidth="1"/>
    <col min="26" max="28" width="0" hidden="1" customWidth="1"/>
    <col min="29" max="29" width="13.5703125" hidden="1" customWidth="1"/>
    <col min="30" max="30" width="0" hidden="1" customWidth="1"/>
    <col min="31" max="31" width="2.85546875" hidden="1" customWidth="1"/>
    <col min="32" max="32" width="12" customWidth="1"/>
    <col min="33" max="33" width="9.5703125" bestFit="1" customWidth="1"/>
    <col min="34" max="34" width="1.42578125" customWidth="1"/>
    <col min="35" max="39" width="0" hidden="1" customWidth="1"/>
    <col min="40" max="40" width="2.85546875" hidden="1" customWidth="1"/>
    <col min="41" max="45" width="0" hidden="1" customWidth="1"/>
    <col min="46" max="46" width="2.85546875" hidden="1" customWidth="1"/>
    <col min="47" max="47" width="12" customWidth="1"/>
    <col min="48" max="48" width="8.42578125" customWidth="1"/>
    <col min="49" max="49" width="1.42578125" customWidth="1"/>
    <col min="50" max="54" width="0" hidden="1" customWidth="1"/>
    <col min="55" max="55" width="2.85546875" hidden="1" customWidth="1"/>
    <col min="56" max="56" width="12" customWidth="1"/>
    <col min="57" max="57" width="8.42578125" customWidth="1"/>
    <col min="58" max="58" width="1.7109375" style="85" customWidth="1"/>
    <col min="59" max="63" width="0" hidden="1" customWidth="1"/>
    <col min="64" max="64" width="3.140625" hidden="1" customWidth="1"/>
    <col min="65" max="69" width="0" hidden="1" customWidth="1"/>
    <col min="70" max="70" width="3.7109375" hidden="1" customWidth="1"/>
    <col min="71" max="75" width="0" hidden="1" customWidth="1"/>
  </cols>
  <sheetData>
    <row r="1" spans="1:75" ht="23.25" x14ac:dyDescent="0.25">
      <c r="A1" s="752" t="s">
        <v>35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</row>
    <row r="2" spans="1:75" ht="23.25" x14ac:dyDescent="0.25">
      <c r="A2" s="752" t="s">
        <v>481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</row>
    <row r="3" spans="1:75" ht="9" customHeight="1" x14ac:dyDescent="0.25">
      <c r="A3" s="158"/>
      <c r="B3" s="158"/>
      <c r="C3" s="158"/>
      <c r="D3" s="158"/>
      <c r="E3" s="158"/>
      <c r="F3" s="158"/>
      <c r="G3" s="158"/>
      <c r="H3" s="6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0"/>
    </row>
    <row r="4" spans="1:75" ht="24" thickBot="1" x14ac:dyDescent="0.3">
      <c r="A4" s="1"/>
      <c r="B4" s="1"/>
      <c r="C4" s="1"/>
      <c r="D4" s="1"/>
      <c r="E4" s="1"/>
      <c r="F4" s="1"/>
      <c r="G4" s="1"/>
      <c r="H4" s="61"/>
      <c r="N4" s="2"/>
      <c r="P4" s="759" t="s">
        <v>2</v>
      </c>
      <c r="Q4" s="759"/>
      <c r="S4" s="194" t="s">
        <v>184</v>
      </c>
      <c r="T4" s="194"/>
      <c r="U4" s="47"/>
      <c r="V4" s="759" t="s">
        <v>248</v>
      </c>
      <c r="W4" s="759"/>
      <c r="X4" s="759"/>
      <c r="Y4" s="300"/>
      <c r="Z4" s="759" t="s">
        <v>162</v>
      </c>
      <c r="AA4" s="759"/>
      <c r="AB4" s="759"/>
      <c r="AC4" s="759"/>
      <c r="AD4" s="759"/>
      <c r="AF4" s="759" t="s">
        <v>163</v>
      </c>
      <c r="AG4" s="759"/>
      <c r="AH4" s="301"/>
      <c r="AI4" s="759" t="s">
        <v>164</v>
      </c>
      <c r="AJ4" s="759"/>
      <c r="AK4" s="759"/>
      <c r="AL4" s="759"/>
      <c r="AM4" s="759"/>
      <c r="AO4" s="759" t="s">
        <v>165</v>
      </c>
      <c r="AP4" s="759"/>
      <c r="AQ4" s="759"/>
      <c r="AR4" s="759"/>
      <c r="AS4" s="759"/>
      <c r="AU4" s="759" t="s">
        <v>171</v>
      </c>
      <c r="AV4" s="759"/>
      <c r="AW4" s="301"/>
      <c r="AX4" s="759" t="s">
        <v>173</v>
      </c>
      <c r="AY4" s="759"/>
      <c r="AZ4" s="759"/>
      <c r="BA4" s="759"/>
      <c r="BB4" s="759"/>
      <c r="BD4" s="759" t="s">
        <v>173</v>
      </c>
      <c r="BE4" s="759"/>
      <c r="BF4" s="300"/>
      <c r="BG4" s="759" t="s">
        <v>177</v>
      </c>
      <c r="BH4" s="759"/>
      <c r="BI4" s="759"/>
      <c r="BJ4" s="759"/>
      <c r="BK4" s="759"/>
      <c r="BM4" s="759" t="s">
        <v>178</v>
      </c>
      <c r="BN4" s="759"/>
      <c r="BO4" s="759"/>
      <c r="BP4" s="759"/>
      <c r="BQ4" s="759"/>
      <c r="BS4" s="759" t="s">
        <v>181</v>
      </c>
      <c r="BT4" s="759"/>
      <c r="BU4" s="759"/>
      <c r="BV4" s="759"/>
      <c r="BW4" s="759"/>
    </row>
    <row r="5" spans="1:75" s="12" customFormat="1" ht="16.5" thickTop="1" thickBot="1" x14ac:dyDescent="0.3">
      <c r="A5" s="32" t="s">
        <v>36</v>
      </c>
      <c r="B5" s="32" t="s">
        <v>37</v>
      </c>
      <c r="C5" s="32" t="s">
        <v>38</v>
      </c>
      <c r="D5" s="32" t="s">
        <v>39</v>
      </c>
      <c r="E5" s="32" t="s">
        <v>40</v>
      </c>
      <c r="F5" s="32" t="s">
        <v>41</v>
      </c>
      <c r="G5" s="32" t="s">
        <v>42</v>
      </c>
      <c r="H5" s="214">
        <v>43101</v>
      </c>
      <c r="I5" s="214">
        <v>43191</v>
      </c>
      <c r="J5" s="214">
        <v>43282</v>
      </c>
      <c r="K5" s="214">
        <v>43374</v>
      </c>
      <c r="L5" s="32" t="s">
        <v>43</v>
      </c>
      <c r="N5" s="322" t="s">
        <v>694</v>
      </c>
      <c r="O5" s="215"/>
      <c r="P5" s="189" t="s">
        <v>475</v>
      </c>
      <c r="Q5" s="190" t="s">
        <v>476</v>
      </c>
      <c r="S5" s="189" t="s">
        <v>475</v>
      </c>
      <c r="T5" s="190" t="s">
        <v>476</v>
      </c>
      <c r="U5" s="218" t="s">
        <v>185</v>
      </c>
      <c r="V5" s="219"/>
      <c r="W5" s="189" t="s">
        <v>475</v>
      </c>
      <c r="X5" s="190" t="s">
        <v>476</v>
      </c>
      <c r="Y5" s="308"/>
      <c r="Z5" s="216" t="s">
        <v>4</v>
      </c>
      <c r="AA5" s="216" t="s">
        <v>3</v>
      </c>
      <c r="AB5" s="216" t="s">
        <v>32</v>
      </c>
      <c r="AC5" s="226" t="s">
        <v>475</v>
      </c>
      <c r="AD5" s="226" t="s">
        <v>476</v>
      </c>
      <c r="AE5" s="215"/>
      <c r="AF5" s="189" t="s">
        <v>475</v>
      </c>
      <c r="AG5" s="190" t="s">
        <v>476</v>
      </c>
      <c r="AH5" s="317"/>
      <c r="AI5" s="216" t="s">
        <v>4</v>
      </c>
      <c r="AJ5" s="216" t="s">
        <v>3</v>
      </c>
      <c r="AK5" s="216" t="s">
        <v>32</v>
      </c>
      <c r="AL5" s="226" t="s">
        <v>475</v>
      </c>
      <c r="AM5" s="226" t="s">
        <v>476</v>
      </c>
      <c r="AN5" s="215"/>
      <c r="AO5" s="216" t="s">
        <v>4</v>
      </c>
      <c r="AP5" s="216" t="s">
        <v>3</v>
      </c>
      <c r="AQ5" s="216" t="s">
        <v>32</v>
      </c>
      <c r="AR5" s="226" t="s">
        <v>475</v>
      </c>
      <c r="AS5" s="226" t="s">
        <v>476</v>
      </c>
      <c r="AU5" s="189" t="s">
        <v>475</v>
      </c>
      <c r="AV5" s="190" t="s">
        <v>476</v>
      </c>
      <c r="AW5" s="302"/>
      <c r="AX5" s="216" t="s">
        <v>4</v>
      </c>
      <c r="AY5" s="216" t="s">
        <v>3</v>
      </c>
      <c r="AZ5" s="216" t="s">
        <v>32</v>
      </c>
      <c r="BA5" s="226" t="s">
        <v>475</v>
      </c>
      <c r="BB5" s="226" t="s">
        <v>476</v>
      </c>
      <c r="BD5" s="189" t="s">
        <v>475</v>
      </c>
      <c r="BE5" s="190" t="s">
        <v>476</v>
      </c>
      <c r="BF5" s="331"/>
      <c r="BG5" s="216" t="s">
        <v>4</v>
      </c>
      <c r="BH5" s="216" t="s">
        <v>3</v>
      </c>
      <c r="BI5" s="216" t="s">
        <v>32</v>
      </c>
      <c r="BJ5" s="226" t="s">
        <v>475</v>
      </c>
      <c r="BK5" s="226" t="s">
        <v>476</v>
      </c>
      <c r="BM5" s="216" t="s">
        <v>4</v>
      </c>
      <c r="BN5" s="216" t="s">
        <v>3</v>
      </c>
      <c r="BO5" s="216" t="s">
        <v>32</v>
      </c>
      <c r="BP5" s="226" t="s">
        <v>475</v>
      </c>
      <c r="BQ5" s="226" t="s">
        <v>476</v>
      </c>
      <c r="BS5" s="216" t="s">
        <v>4</v>
      </c>
      <c r="BT5" s="216" t="s">
        <v>3</v>
      </c>
      <c r="BU5" s="216" t="s">
        <v>32</v>
      </c>
      <c r="BV5" s="226" t="s">
        <v>475</v>
      </c>
      <c r="BW5" s="226" t="s">
        <v>476</v>
      </c>
    </row>
    <row r="6" spans="1:75" s="4" customFormat="1" ht="15.75" thickBot="1" x14ac:dyDescent="0.3">
      <c r="A6" s="761" t="s">
        <v>44</v>
      </c>
      <c r="B6" s="761"/>
      <c r="C6" s="761"/>
      <c r="D6" s="761"/>
      <c r="E6" s="761"/>
      <c r="F6" s="761"/>
      <c r="G6" s="761"/>
      <c r="H6" s="15"/>
      <c r="I6" s="15"/>
      <c r="J6" s="15"/>
      <c r="K6" s="15"/>
      <c r="L6" s="15"/>
      <c r="M6" s="9"/>
      <c r="N6" s="112"/>
      <c r="O6" s="112"/>
      <c r="P6" s="112"/>
      <c r="Q6" s="112"/>
      <c r="R6" s="65"/>
      <c r="S6" s="65"/>
      <c r="T6" s="65"/>
      <c r="U6" s="65"/>
      <c r="V6" s="65"/>
      <c r="W6" s="65"/>
      <c r="X6" s="65"/>
      <c r="Y6" s="313"/>
      <c r="Z6" s="65"/>
      <c r="AA6" s="65"/>
      <c r="AB6" s="65"/>
      <c r="AC6" s="65"/>
      <c r="AD6" s="65"/>
      <c r="AE6" s="65"/>
      <c r="AF6" s="65"/>
      <c r="AG6" s="65"/>
      <c r="AH6" s="313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313"/>
      <c r="AX6" s="65"/>
      <c r="AY6" s="65"/>
      <c r="AZ6" s="65"/>
      <c r="BA6" s="65"/>
      <c r="BB6" s="65"/>
      <c r="BC6" s="65"/>
      <c r="BD6" s="65"/>
      <c r="BE6" s="65"/>
      <c r="BF6" s="339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</row>
    <row r="7" spans="1:75" x14ac:dyDescent="0.25">
      <c r="A7" s="3" t="s">
        <v>273</v>
      </c>
      <c r="B7" s="3" t="s">
        <v>46</v>
      </c>
      <c r="C7" s="3" t="s">
        <v>47</v>
      </c>
      <c r="D7" s="3" t="s">
        <v>48</v>
      </c>
      <c r="E7" s="3" t="s">
        <v>48</v>
      </c>
      <c r="F7" t="s">
        <v>482</v>
      </c>
      <c r="G7" t="s">
        <v>49</v>
      </c>
      <c r="H7" s="67">
        <f t="shared" ref="H7:K20" si="0">$L7/4</f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1">
        <v>0</v>
      </c>
      <c r="N7" s="206" t="s">
        <v>537</v>
      </c>
      <c r="P7" s="195">
        <f>INDEX('Apportionment Bases'!AQ$6:AQ$33,MATCH('PC21'!$N7,'Apportionment Bases'!$A$6:$A$33,0))</f>
        <v>0.67</v>
      </c>
      <c r="Q7" s="195">
        <f>INDEX('Apportionment Bases'!AR$6:AR$33,MATCH('PC21'!$N7,'Apportionment Bases'!$A$6:$A$33,0))</f>
        <v>0.33</v>
      </c>
      <c r="S7" s="72">
        <f>P7*L7</f>
        <v>0</v>
      </c>
      <c r="T7" s="72">
        <f>Q7*L7</f>
        <v>0</v>
      </c>
      <c r="U7" s="266" t="str">
        <f>IF(SUM(S7:T7)=L7,"TRUE","FALSE")</f>
        <v>TRUE</v>
      </c>
      <c r="V7" s="227" t="s">
        <v>163</v>
      </c>
      <c r="W7" s="228">
        <f>'Apportionment Assumptions'!AI8</f>
        <v>0</v>
      </c>
      <c r="X7" s="228">
        <f>'Apportionment Assumptions'!AJ8</f>
        <v>0.53400000000000003</v>
      </c>
      <c r="Y7" s="301"/>
      <c r="AF7" s="72">
        <f>S7*$W$7</f>
        <v>0</v>
      </c>
      <c r="AG7" s="72">
        <f>T7*$X$7</f>
        <v>0</v>
      </c>
      <c r="AH7" s="301"/>
      <c r="AU7" s="72">
        <f>S7*$W$8</f>
        <v>0</v>
      </c>
      <c r="AV7" s="72">
        <f>T7*$X$8</f>
        <v>0</v>
      </c>
      <c r="AW7" s="301"/>
      <c r="BD7" s="72">
        <f>S7*$W$9</f>
        <v>0</v>
      </c>
      <c r="BE7" s="182">
        <f>T7*$X$9</f>
        <v>0</v>
      </c>
      <c r="BF7" s="300"/>
    </row>
    <row r="8" spans="1:75" x14ac:dyDescent="0.25">
      <c r="A8" s="3" t="s">
        <v>273</v>
      </c>
      <c r="B8" s="3" t="s">
        <v>46</v>
      </c>
      <c r="C8" s="3" t="s">
        <v>45</v>
      </c>
      <c r="D8" s="3" t="s">
        <v>48</v>
      </c>
      <c r="E8" s="3" t="s">
        <v>48</v>
      </c>
      <c r="F8" t="s">
        <v>483</v>
      </c>
      <c r="G8" t="s">
        <v>49</v>
      </c>
      <c r="H8" s="67">
        <f t="shared" si="0"/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1">
        <v>0</v>
      </c>
      <c r="N8" s="206" t="s">
        <v>537</v>
      </c>
      <c r="P8" s="195">
        <f>INDEX('Apportionment Bases'!AQ$6:AQ$33,MATCH('PC21'!$N8,'Apportionment Bases'!$A$6:$A$33,0))</f>
        <v>0.67</v>
      </c>
      <c r="Q8" s="195">
        <f>INDEX('Apportionment Bases'!AR$6:AR$33,MATCH('PC21'!$N8,'Apportionment Bases'!$A$6:$A$33,0))</f>
        <v>0.33</v>
      </c>
      <c r="S8" s="72">
        <f>P8*L8</f>
        <v>0</v>
      </c>
      <c r="T8" s="72">
        <f>Q8*L8</f>
        <v>0</v>
      </c>
      <c r="U8" s="266" t="str">
        <f t="shared" ref="U8:U10" si="1">IF(SUM(S8:T8)=L8,"TRUE","FALSE")</f>
        <v>TRUE</v>
      </c>
      <c r="V8" s="227" t="s">
        <v>171</v>
      </c>
      <c r="W8" s="228">
        <f>'Apportionment Assumptions'!AI11</f>
        <v>0.5</v>
      </c>
      <c r="X8" s="228">
        <f>'Apportionment Assumptions'!AJ11</f>
        <v>0.23300000000000001</v>
      </c>
      <c r="Y8" s="301"/>
      <c r="AF8" s="72">
        <f>S8*$W$7</f>
        <v>0</v>
      </c>
      <c r="AG8" s="72">
        <f>T8*$X$7</f>
        <v>0</v>
      </c>
      <c r="AH8" s="301"/>
      <c r="AU8" s="72">
        <f t="shared" ref="AU8:AU10" si="2">S8*$W$8</f>
        <v>0</v>
      </c>
      <c r="AV8" s="72">
        <f t="shared" ref="AV8:AV10" si="3">T8*$X$8</f>
        <v>0</v>
      </c>
      <c r="AW8" s="301"/>
      <c r="BD8" s="72">
        <f t="shared" ref="BD8:BD10" si="4">S8*$W$9</f>
        <v>0</v>
      </c>
      <c r="BE8" s="182">
        <f t="shared" ref="BE8:BE10" si="5">T8*$X$9</f>
        <v>0</v>
      </c>
      <c r="BF8" s="300"/>
    </row>
    <row r="9" spans="1:75" x14ac:dyDescent="0.25">
      <c r="A9" s="3" t="s">
        <v>273</v>
      </c>
      <c r="B9" s="3" t="s">
        <v>60</v>
      </c>
      <c r="C9" s="3" t="s">
        <v>47</v>
      </c>
      <c r="D9" s="3" t="s">
        <v>48</v>
      </c>
      <c r="E9" s="3" t="s">
        <v>48</v>
      </c>
      <c r="F9" t="s">
        <v>491</v>
      </c>
      <c r="G9" t="s">
        <v>61</v>
      </c>
      <c r="H9" s="67">
        <f t="shared" ref="H9:K10" si="6">$L9/4</f>
        <v>0</v>
      </c>
      <c r="I9" s="67">
        <f t="shared" si="6"/>
        <v>0</v>
      </c>
      <c r="J9" s="67">
        <f t="shared" si="6"/>
        <v>0</v>
      </c>
      <c r="K9" s="67">
        <f t="shared" si="6"/>
        <v>0</v>
      </c>
      <c r="L9" s="61">
        <v>0</v>
      </c>
      <c r="N9" s="206" t="s">
        <v>537</v>
      </c>
      <c r="P9" s="195">
        <f>INDEX('Apportionment Bases'!AQ$6:AQ$33,MATCH('PC21'!$N9,'Apportionment Bases'!$A$6:$A$33,0))</f>
        <v>0.67</v>
      </c>
      <c r="Q9" s="195">
        <f>INDEX('Apportionment Bases'!AR$6:AR$33,MATCH('PC21'!$N9,'Apportionment Bases'!$A$6:$A$33,0))</f>
        <v>0.33</v>
      </c>
      <c r="S9" s="72">
        <f>P9*L9</f>
        <v>0</v>
      </c>
      <c r="T9" s="72">
        <f>Q9*L9</f>
        <v>0</v>
      </c>
      <c r="U9" s="266" t="str">
        <f t="shared" si="1"/>
        <v>TRUE</v>
      </c>
      <c r="V9" s="227" t="s">
        <v>173</v>
      </c>
      <c r="W9" s="228">
        <f>'Apportionment Assumptions'!AI12</f>
        <v>0.5</v>
      </c>
      <c r="X9" s="228">
        <f>'Apportionment Assumptions'!AJ12</f>
        <v>0.23300000000000001</v>
      </c>
      <c r="Y9" s="301"/>
      <c r="AF9" s="72">
        <f>S9*$W$7</f>
        <v>0</v>
      </c>
      <c r="AG9" s="72">
        <f>T9*$X$7</f>
        <v>0</v>
      </c>
      <c r="AH9" s="301"/>
      <c r="AU9" s="72">
        <f>S9*$W$8</f>
        <v>0</v>
      </c>
      <c r="AV9" s="72">
        <f t="shared" si="3"/>
        <v>0</v>
      </c>
      <c r="AW9" s="301"/>
      <c r="BD9" s="72">
        <f t="shared" si="4"/>
        <v>0</v>
      </c>
      <c r="BE9" s="182">
        <f t="shared" si="5"/>
        <v>0</v>
      </c>
      <c r="BF9" s="300"/>
    </row>
    <row r="10" spans="1:75" x14ac:dyDescent="0.25">
      <c r="A10" s="3" t="s">
        <v>273</v>
      </c>
      <c r="B10" s="3" t="s">
        <v>60</v>
      </c>
      <c r="C10" s="3" t="s">
        <v>45</v>
      </c>
      <c r="D10" s="3" t="s">
        <v>48</v>
      </c>
      <c r="E10" s="3" t="s">
        <v>48</v>
      </c>
      <c r="F10" t="s">
        <v>492</v>
      </c>
      <c r="G10" t="s">
        <v>61</v>
      </c>
      <c r="H10" s="67">
        <f t="shared" si="6"/>
        <v>0</v>
      </c>
      <c r="I10" s="67">
        <f t="shared" si="6"/>
        <v>0</v>
      </c>
      <c r="J10" s="67">
        <f t="shared" si="6"/>
        <v>0</v>
      </c>
      <c r="K10" s="67">
        <f t="shared" si="6"/>
        <v>0</v>
      </c>
      <c r="L10" s="61">
        <v>0</v>
      </c>
      <c r="N10" s="206" t="s">
        <v>537</v>
      </c>
      <c r="P10" s="195">
        <f>INDEX('Apportionment Bases'!AQ$6:AQ$33,MATCH('PC21'!$N10,'Apportionment Bases'!$A$6:$A$33,0))</f>
        <v>0.67</v>
      </c>
      <c r="Q10" s="195">
        <f>INDEX('Apportionment Bases'!AR$6:AR$33,MATCH('PC21'!$N10,'Apportionment Bases'!$A$6:$A$33,0))</f>
        <v>0.33</v>
      </c>
      <c r="S10" s="72">
        <f>P10*L10</f>
        <v>0</v>
      </c>
      <c r="T10" s="72">
        <f>Q10*L10</f>
        <v>0</v>
      </c>
      <c r="U10" s="266" t="str">
        <f t="shared" si="1"/>
        <v>TRUE</v>
      </c>
      <c r="Y10" s="301"/>
      <c r="AF10" s="72">
        <f>S10*$W$7</f>
        <v>0</v>
      </c>
      <c r="AG10" s="72">
        <f>T10*$X$7</f>
        <v>0</v>
      </c>
      <c r="AH10" s="301"/>
      <c r="AU10" s="72">
        <f t="shared" si="2"/>
        <v>0</v>
      </c>
      <c r="AV10" s="72">
        <f t="shared" si="3"/>
        <v>0</v>
      </c>
      <c r="AW10" s="301"/>
      <c r="BD10" s="72">
        <f t="shared" si="4"/>
        <v>0</v>
      </c>
      <c r="BE10" s="182">
        <f t="shared" si="5"/>
        <v>0</v>
      </c>
      <c r="BF10" s="300"/>
    </row>
    <row r="11" spans="1:75" ht="15.75" thickBot="1" x14ac:dyDescent="0.3">
      <c r="A11" s="27"/>
      <c r="B11" s="27"/>
      <c r="C11" s="27"/>
      <c r="D11" s="27"/>
      <c r="E11" s="27"/>
      <c r="F11" s="28"/>
      <c r="G11" s="28" t="s">
        <v>64</v>
      </c>
      <c r="H11" s="29">
        <f>SUM(H7:H10)</f>
        <v>0</v>
      </c>
      <c r="I11" s="29">
        <f t="shared" ref="I11:L11" si="7">SUM(I7:I10)</f>
        <v>0</v>
      </c>
      <c r="J11" s="29">
        <f t="shared" si="7"/>
        <v>0</v>
      </c>
      <c r="K11" s="29">
        <f t="shared" si="7"/>
        <v>0</v>
      </c>
      <c r="L11" s="29">
        <f t="shared" si="7"/>
        <v>0</v>
      </c>
      <c r="M11" s="28"/>
      <c r="N11" s="28"/>
      <c r="O11" s="28"/>
      <c r="P11" s="200"/>
      <c r="Q11" s="200"/>
      <c r="R11" s="28"/>
      <c r="S11" s="29">
        <f>SUM(S7:S10)</f>
        <v>0</v>
      </c>
      <c r="T11" s="29">
        <f>SUM(T7:T10)</f>
        <v>0</v>
      </c>
      <c r="U11" s="28"/>
      <c r="V11" s="28" t="s">
        <v>187</v>
      </c>
      <c r="W11" s="179">
        <f>SUM(W7:W9)</f>
        <v>1</v>
      </c>
      <c r="X11" s="179">
        <f>SUM(X7:X9)</f>
        <v>1</v>
      </c>
      <c r="Y11" s="346"/>
      <c r="Z11" s="94"/>
      <c r="AA11" s="94"/>
      <c r="AB11" s="94"/>
      <c r="AC11" s="94"/>
      <c r="AD11" s="94"/>
      <c r="AE11" s="94"/>
      <c r="AF11" s="29">
        <f>SUM(AF7:AF10)</f>
        <v>0</v>
      </c>
      <c r="AG11" s="29">
        <f>SUM(AG7:AG10)</f>
        <v>0</v>
      </c>
      <c r="AH11" s="346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29">
        <f>SUM(AU7:AU10)</f>
        <v>0</v>
      </c>
      <c r="AV11" s="29">
        <f>SUM(AV7:AV10)</f>
        <v>0</v>
      </c>
      <c r="AW11" s="346"/>
      <c r="AX11" s="94"/>
      <c r="AY11" s="94"/>
      <c r="AZ11" s="94"/>
      <c r="BA11" s="94"/>
      <c r="BB11" s="94"/>
      <c r="BC11" s="94"/>
      <c r="BD11" s="29">
        <f>SUM(BD7:BD10)</f>
        <v>0</v>
      </c>
      <c r="BE11" s="29">
        <f>SUM(BE7:BE10)</f>
        <v>0</v>
      </c>
      <c r="BF11" s="347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</row>
    <row r="12" spans="1:75" ht="15.75" thickTop="1" x14ac:dyDescent="0.25">
      <c r="A12"/>
      <c r="B12"/>
      <c r="C12"/>
      <c r="D12"/>
      <c r="E12"/>
      <c r="H12" s="67"/>
      <c r="I12" s="67"/>
      <c r="J12" s="67"/>
      <c r="K12" s="67"/>
      <c r="L12" s="61"/>
      <c r="P12" s="197"/>
      <c r="Q12" s="197"/>
      <c r="S12" s="67"/>
      <c r="T12" s="67"/>
      <c r="Y12" s="301"/>
      <c r="AF12" s="67"/>
      <c r="AG12" s="67"/>
      <c r="AH12" s="301"/>
      <c r="AW12" s="301"/>
      <c r="BF12" s="300"/>
    </row>
    <row r="13" spans="1:75" ht="15.75" thickBot="1" x14ac:dyDescent="0.3">
      <c r="A13" s="765" t="s">
        <v>65</v>
      </c>
      <c r="B13" s="765"/>
      <c r="C13" s="765"/>
      <c r="D13" s="765"/>
      <c r="E13" s="765"/>
      <c r="F13" s="765"/>
      <c r="G13" s="765"/>
      <c r="H13" s="15"/>
      <c r="I13" s="15"/>
      <c r="J13" s="15"/>
      <c r="K13" s="15"/>
      <c r="L13" s="15"/>
      <c r="M13" s="9"/>
      <c r="N13" s="9"/>
      <c r="O13" s="9"/>
      <c r="P13" s="198"/>
      <c r="Q13" s="198"/>
      <c r="R13" s="9"/>
      <c r="S13" s="75"/>
      <c r="T13" s="75"/>
      <c r="U13" s="9"/>
      <c r="V13" s="9"/>
      <c r="W13" s="9"/>
      <c r="X13" s="9"/>
      <c r="Y13" s="313"/>
      <c r="Z13" s="9"/>
      <c r="AA13" s="9"/>
      <c r="AB13" s="9"/>
      <c r="AC13" s="9"/>
      <c r="AD13" s="9"/>
      <c r="AE13" s="9"/>
      <c r="AF13" s="75"/>
      <c r="AG13" s="75"/>
      <c r="AH13" s="313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313"/>
      <c r="AX13" s="9"/>
      <c r="AY13" s="9"/>
      <c r="AZ13" s="9"/>
      <c r="BA13" s="9"/>
      <c r="BB13" s="9"/>
      <c r="BC13" s="9"/>
      <c r="BD13" s="9"/>
      <c r="BE13" s="9"/>
      <c r="BF13" s="33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x14ac:dyDescent="0.25">
      <c r="A14" s="3" t="s">
        <v>273</v>
      </c>
      <c r="B14" s="3" t="s">
        <v>82</v>
      </c>
      <c r="C14" s="3" t="s">
        <v>45</v>
      </c>
      <c r="D14" s="3" t="s">
        <v>48</v>
      </c>
      <c r="E14" s="3" t="s">
        <v>48</v>
      </c>
      <c r="F14" t="s">
        <v>484</v>
      </c>
      <c r="G14" t="s">
        <v>19</v>
      </c>
      <c r="H14" s="67">
        <f t="shared" si="0"/>
        <v>15625</v>
      </c>
      <c r="I14" s="67">
        <f t="shared" si="0"/>
        <v>15625</v>
      </c>
      <c r="J14" s="67">
        <f t="shared" si="0"/>
        <v>15625</v>
      </c>
      <c r="K14" s="67">
        <f t="shared" si="0"/>
        <v>15625</v>
      </c>
      <c r="L14" s="61">
        <v>62500</v>
      </c>
      <c r="N14" s="206" t="s">
        <v>537</v>
      </c>
      <c r="P14" s="195">
        <f>INDEX('Apportionment Bases'!AQ$6:AQ$33,MATCH('PC21'!$N14,'Apportionment Bases'!$A$6:$A$33,0))</f>
        <v>0.67</v>
      </c>
      <c r="Q14" s="195">
        <f>INDEX('Apportionment Bases'!AR$6:AR$33,MATCH('PC21'!$N14,'Apportionment Bases'!$A$6:$A$33,0))</f>
        <v>0.33</v>
      </c>
      <c r="S14" s="72">
        <f t="shared" ref="S14:S20" si="8">P14*L14</f>
        <v>41875</v>
      </c>
      <c r="T14" s="72">
        <f t="shared" ref="T14:T20" si="9">Q14*L14</f>
        <v>20625</v>
      </c>
      <c r="U14" s="266" t="str">
        <f t="shared" ref="U14:U20" si="10">IF(SUM(S14:T14)=L14,"TRUE","FALSE")</f>
        <v>TRUE</v>
      </c>
      <c r="Y14" s="301"/>
      <c r="AF14" s="72">
        <f>S14*$W$7</f>
        <v>0</v>
      </c>
      <c r="AG14" s="72">
        <f>T14*$X$7</f>
        <v>11013.75</v>
      </c>
      <c r="AH14" s="301"/>
      <c r="AU14" s="72">
        <f t="shared" ref="AU14" si="11">S14*$W$8</f>
        <v>20937.5</v>
      </c>
      <c r="AV14" s="72">
        <f t="shared" ref="AV14" si="12">T14*$X$8</f>
        <v>4805.625</v>
      </c>
      <c r="AW14" s="301"/>
      <c r="BD14" s="72">
        <f t="shared" ref="BD14" si="13">S14*$W$9</f>
        <v>20937.5</v>
      </c>
      <c r="BE14" s="182">
        <f t="shared" ref="BE14" si="14">T14*$X$9</f>
        <v>4805.625</v>
      </c>
      <c r="BF14" s="300"/>
    </row>
    <row r="15" spans="1:75" x14ac:dyDescent="0.25">
      <c r="A15" s="3" t="s">
        <v>273</v>
      </c>
      <c r="B15" s="3" t="s">
        <v>83</v>
      </c>
      <c r="C15" s="3" t="s">
        <v>47</v>
      </c>
      <c r="D15" s="3" t="s">
        <v>48</v>
      </c>
      <c r="E15" s="3" t="s">
        <v>48</v>
      </c>
      <c r="F15" t="s">
        <v>485</v>
      </c>
      <c r="G15" t="s">
        <v>20</v>
      </c>
      <c r="H15" s="67">
        <f t="shared" si="0"/>
        <v>0</v>
      </c>
      <c r="I15" s="67">
        <f t="shared" si="0"/>
        <v>0</v>
      </c>
      <c r="J15" s="67">
        <f t="shared" si="0"/>
        <v>0</v>
      </c>
      <c r="K15" s="67">
        <f t="shared" si="0"/>
        <v>0</v>
      </c>
      <c r="L15" s="61">
        <v>0</v>
      </c>
      <c r="N15" s="206" t="s">
        <v>537</v>
      </c>
      <c r="P15" s="195">
        <f>INDEX('Apportionment Bases'!AQ$6:AQ$33,MATCH('PC21'!$N15,'Apportionment Bases'!$A$6:$A$33,0))</f>
        <v>0.67</v>
      </c>
      <c r="Q15" s="195">
        <f>INDEX('Apportionment Bases'!AR$6:AR$33,MATCH('PC21'!$N15,'Apportionment Bases'!$A$6:$A$33,0))</f>
        <v>0.33</v>
      </c>
      <c r="S15" s="72">
        <f t="shared" si="8"/>
        <v>0</v>
      </c>
      <c r="T15" s="72">
        <f t="shared" si="9"/>
        <v>0</v>
      </c>
      <c r="U15" s="266" t="str">
        <f t="shared" si="10"/>
        <v>TRUE</v>
      </c>
      <c r="Y15" s="301"/>
      <c r="AF15" s="72">
        <f t="shared" ref="AF15:AF20" si="15">S15*$W$7</f>
        <v>0</v>
      </c>
      <c r="AG15" s="72">
        <f t="shared" ref="AG15:AG20" si="16">T15*$X$7</f>
        <v>0</v>
      </c>
      <c r="AH15" s="301"/>
      <c r="AU15" s="72">
        <f t="shared" ref="AU15:AU20" si="17">S15*$W$8</f>
        <v>0</v>
      </c>
      <c r="AV15" s="72">
        <f t="shared" ref="AV15:AV20" si="18">T15*$X$8</f>
        <v>0</v>
      </c>
      <c r="AW15" s="301"/>
      <c r="BD15" s="72">
        <f t="shared" ref="BD15:BD20" si="19">S15*$W$9</f>
        <v>0</v>
      </c>
      <c r="BE15" s="182">
        <f t="shared" ref="BE15:BE20" si="20">T15*$X$9</f>
        <v>0</v>
      </c>
      <c r="BF15" s="300"/>
    </row>
    <row r="16" spans="1:75" x14ac:dyDescent="0.25">
      <c r="A16" s="3" t="s">
        <v>273</v>
      </c>
      <c r="B16" s="3">
        <v>5019</v>
      </c>
      <c r="C16" s="3" t="s">
        <v>45</v>
      </c>
      <c r="D16" s="3" t="s">
        <v>48</v>
      </c>
      <c r="E16" s="3" t="s">
        <v>48</v>
      </c>
      <c r="F16" t="s">
        <v>486</v>
      </c>
      <c r="G16" t="s">
        <v>87</v>
      </c>
      <c r="H16" s="67">
        <f t="shared" si="0"/>
        <v>0</v>
      </c>
      <c r="I16" s="67">
        <f t="shared" si="0"/>
        <v>0</v>
      </c>
      <c r="J16" s="67">
        <f t="shared" si="0"/>
        <v>0</v>
      </c>
      <c r="K16" s="67">
        <f t="shared" si="0"/>
        <v>0</v>
      </c>
      <c r="L16" s="61">
        <v>0</v>
      </c>
      <c r="N16" s="206" t="s">
        <v>537</v>
      </c>
      <c r="P16" s="195">
        <f>INDEX('Apportionment Bases'!AQ$6:AQ$33,MATCH('PC21'!$N16,'Apportionment Bases'!$A$6:$A$33,0))</f>
        <v>0.67</v>
      </c>
      <c r="Q16" s="195">
        <f>INDEX('Apportionment Bases'!AR$6:AR$33,MATCH('PC21'!$N16,'Apportionment Bases'!$A$6:$A$33,0))</f>
        <v>0.33</v>
      </c>
      <c r="S16" s="72">
        <f t="shared" si="8"/>
        <v>0</v>
      </c>
      <c r="T16" s="72">
        <f t="shared" si="9"/>
        <v>0</v>
      </c>
      <c r="U16" s="266" t="str">
        <f t="shared" si="10"/>
        <v>TRUE</v>
      </c>
      <c r="Y16" s="301"/>
      <c r="AF16" s="72">
        <f t="shared" si="15"/>
        <v>0</v>
      </c>
      <c r="AG16" s="72">
        <f t="shared" si="16"/>
        <v>0</v>
      </c>
      <c r="AH16" s="301"/>
      <c r="AU16" s="72">
        <f t="shared" si="17"/>
        <v>0</v>
      </c>
      <c r="AV16" s="72">
        <f t="shared" si="18"/>
        <v>0</v>
      </c>
      <c r="AW16" s="301"/>
      <c r="BD16" s="72">
        <f t="shared" si="19"/>
        <v>0</v>
      </c>
      <c r="BE16" s="182">
        <f t="shared" si="20"/>
        <v>0</v>
      </c>
      <c r="BF16" s="300"/>
    </row>
    <row r="17" spans="1:75" x14ac:dyDescent="0.25">
      <c r="A17" s="3" t="s">
        <v>273</v>
      </c>
      <c r="B17" s="3">
        <v>5027</v>
      </c>
      <c r="C17" s="3" t="s">
        <v>45</v>
      </c>
      <c r="D17" s="3" t="s">
        <v>48</v>
      </c>
      <c r="E17" s="3" t="s">
        <v>48</v>
      </c>
      <c r="F17" t="s">
        <v>487</v>
      </c>
      <c r="G17" t="s">
        <v>100</v>
      </c>
      <c r="H17" s="67">
        <f t="shared" si="0"/>
        <v>182.75</v>
      </c>
      <c r="I17" s="67">
        <f t="shared" si="0"/>
        <v>182.75</v>
      </c>
      <c r="J17" s="67">
        <f t="shared" si="0"/>
        <v>182.75</v>
      </c>
      <c r="K17" s="67">
        <f t="shared" si="0"/>
        <v>182.75</v>
      </c>
      <c r="L17" s="61">
        <v>731</v>
      </c>
      <c r="N17" s="206" t="s">
        <v>537</v>
      </c>
      <c r="P17" s="195">
        <f>INDEX('Apportionment Bases'!AQ$6:AQ$33,MATCH('PC21'!$N17,'Apportionment Bases'!$A$6:$A$33,0))</f>
        <v>0.67</v>
      </c>
      <c r="Q17" s="195">
        <f>INDEX('Apportionment Bases'!AR$6:AR$33,MATCH('PC21'!$N17,'Apportionment Bases'!$A$6:$A$33,0))</f>
        <v>0.33</v>
      </c>
      <c r="S17" s="72">
        <f t="shared" si="8"/>
        <v>489.77000000000004</v>
      </c>
      <c r="T17" s="72">
        <f t="shared" si="9"/>
        <v>241.23000000000002</v>
      </c>
      <c r="U17" s="266" t="str">
        <f t="shared" si="10"/>
        <v>TRUE</v>
      </c>
      <c r="Y17" s="301"/>
      <c r="AF17" s="72">
        <f t="shared" si="15"/>
        <v>0</v>
      </c>
      <c r="AG17" s="72">
        <f t="shared" si="16"/>
        <v>128.81682000000001</v>
      </c>
      <c r="AH17" s="301"/>
      <c r="AU17" s="72">
        <f t="shared" si="17"/>
        <v>244.88500000000002</v>
      </c>
      <c r="AV17" s="72">
        <f t="shared" si="18"/>
        <v>56.206590000000006</v>
      </c>
      <c r="AW17" s="301"/>
      <c r="BD17" s="72">
        <f t="shared" si="19"/>
        <v>244.88500000000002</v>
      </c>
      <c r="BE17" s="182">
        <f t="shared" si="20"/>
        <v>56.206590000000006</v>
      </c>
      <c r="BF17" s="300"/>
    </row>
    <row r="18" spans="1:75" x14ac:dyDescent="0.25">
      <c r="A18" s="3" t="s">
        <v>273</v>
      </c>
      <c r="B18" s="3" t="s">
        <v>101</v>
      </c>
      <c r="C18" s="3" t="s">
        <v>47</v>
      </c>
      <c r="D18" s="3" t="s">
        <v>48</v>
      </c>
      <c r="E18" s="3" t="s">
        <v>48</v>
      </c>
      <c r="F18" t="s">
        <v>488</v>
      </c>
      <c r="G18" t="s">
        <v>102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1">
        <v>0</v>
      </c>
      <c r="N18" s="206" t="s">
        <v>537</v>
      </c>
      <c r="P18" s="195">
        <f>INDEX('Apportionment Bases'!AQ$6:AQ$33,MATCH('PC21'!$N18,'Apportionment Bases'!$A$6:$A$33,0))</f>
        <v>0.67</v>
      </c>
      <c r="Q18" s="195">
        <f>INDEX('Apportionment Bases'!AR$6:AR$33,MATCH('PC21'!$N18,'Apportionment Bases'!$A$6:$A$33,0))</f>
        <v>0.33</v>
      </c>
      <c r="S18" s="72">
        <f t="shared" si="8"/>
        <v>0</v>
      </c>
      <c r="T18" s="72">
        <f t="shared" si="9"/>
        <v>0</v>
      </c>
      <c r="U18" s="266" t="str">
        <f t="shared" si="10"/>
        <v>TRUE</v>
      </c>
      <c r="Y18" s="301"/>
      <c r="AF18" s="72">
        <f t="shared" si="15"/>
        <v>0</v>
      </c>
      <c r="AG18" s="72">
        <f t="shared" si="16"/>
        <v>0</v>
      </c>
      <c r="AH18" s="301"/>
      <c r="AU18" s="72">
        <f t="shared" si="17"/>
        <v>0</v>
      </c>
      <c r="AV18" s="72">
        <f t="shared" si="18"/>
        <v>0</v>
      </c>
      <c r="AW18" s="301"/>
      <c r="BD18" s="72">
        <f t="shared" si="19"/>
        <v>0</v>
      </c>
      <c r="BE18" s="182">
        <f t="shared" si="20"/>
        <v>0</v>
      </c>
      <c r="BF18" s="300"/>
    </row>
    <row r="19" spans="1:75" x14ac:dyDescent="0.25">
      <c r="A19" s="3" t="s">
        <v>273</v>
      </c>
      <c r="B19" s="3" t="s">
        <v>101</v>
      </c>
      <c r="C19" s="3" t="s">
        <v>45</v>
      </c>
      <c r="D19" s="3" t="s">
        <v>48</v>
      </c>
      <c r="E19" s="3" t="s">
        <v>48</v>
      </c>
      <c r="F19" t="s">
        <v>489</v>
      </c>
      <c r="G19" t="s">
        <v>102</v>
      </c>
      <c r="H19" s="67">
        <f t="shared" si="0"/>
        <v>0</v>
      </c>
      <c r="I19" s="67">
        <f t="shared" si="0"/>
        <v>0</v>
      </c>
      <c r="J19" s="67">
        <f t="shared" si="0"/>
        <v>0</v>
      </c>
      <c r="K19" s="67">
        <f t="shared" si="0"/>
        <v>0</v>
      </c>
      <c r="L19" s="61">
        <v>0</v>
      </c>
      <c r="N19" s="206" t="s">
        <v>537</v>
      </c>
      <c r="P19" s="195">
        <f>INDEX('Apportionment Bases'!AQ$6:AQ$33,MATCH('PC21'!$N19,'Apportionment Bases'!$A$6:$A$33,0))</f>
        <v>0.67</v>
      </c>
      <c r="Q19" s="195">
        <f>INDEX('Apportionment Bases'!AR$6:AR$33,MATCH('PC21'!$N19,'Apportionment Bases'!$A$6:$A$33,0))</f>
        <v>0.33</v>
      </c>
      <c r="S19" s="72">
        <f t="shared" si="8"/>
        <v>0</v>
      </c>
      <c r="T19" s="72">
        <f t="shared" si="9"/>
        <v>0</v>
      </c>
      <c r="U19" s="266" t="str">
        <f t="shared" si="10"/>
        <v>TRUE</v>
      </c>
      <c r="Y19" s="301"/>
      <c r="AF19" s="72">
        <f t="shared" si="15"/>
        <v>0</v>
      </c>
      <c r="AG19" s="72">
        <f t="shared" si="16"/>
        <v>0</v>
      </c>
      <c r="AH19" s="301"/>
      <c r="AU19" s="72">
        <f t="shared" si="17"/>
        <v>0</v>
      </c>
      <c r="AV19" s="72">
        <f t="shared" si="18"/>
        <v>0</v>
      </c>
      <c r="AW19" s="301"/>
      <c r="BD19" s="72">
        <f t="shared" si="19"/>
        <v>0</v>
      </c>
      <c r="BE19" s="182">
        <f t="shared" si="20"/>
        <v>0</v>
      </c>
      <c r="BF19" s="300"/>
    </row>
    <row r="20" spans="1:75" x14ac:dyDescent="0.25">
      <c r="A20" s="3" t="s">
        <v>273</v>
      </c>
      <c r="B20" s="3" t="s">
        <v>226</v>
      </c>
      <c r="C20" s="3" t="s">
        <v>45</v>
      </c>
      <c r="D20" s="3" t="s">
        <v>48</v>
      </c>
      <c r="E20" s="3" t="s">
        <v>48</v>
      </c>
      <c r="F20" t="s">
        <v>490</v>
      </c>
      <c r="G20" t="s">
        <v>227</v>
      </c>
      <c r="H20" s="67">
        <f t="shared" si="0"/>
        <v>0</v>
      </c>
      <c r="I20" s="67">
        <f t="shared" si="0"/>
        <v>0</v>
      </c>
      <c r="J20" s="67">
        <f t="shared" si="0"/>
        <v>0</v>
      </c>
      <c r="K20" s="67">
        <f t="shared" si="0"/>
        <v>0</v>
      </c>
      <c r="L20" s="61">
        <v>0</v>
      </c>
      <c r="N20" s="206" t="s">
        <v>537</v>
      </c>
      <c r="P20" s="195">
        <f>INDEX('Apportionment Bases'!AQ$6:AQ$33,MATCH('PC21'!$N20,'Apportionment Bases'!$A$6:$A$33,0))</f>
        <v>0.67</v>
      </c>
      <c r="Q20" s="195">
        <f>INDEX('Apportionment Bases'!AR$6:AR$33,MATCH('PC21'!$N20,'Apportionment Bases'!$A$6:$A$33,0))</f>
        <v>0.33</v>
      </c>
      <c r="S20" s="72">
        <f t="shared" si="8"/>
        <v>0</v>
      </c>
      <c r="T20" s="72">
        <f t="shared" si="9"/>
        <v>0</v>
      </c>
      <c r="U20" s="266" t="str">
        <f t="shared" si="10"/>
        <v>TRUE</v>
      </c>
      <c r="Y20" s="301"/>
      <c r="AF20" s="72">
        <f t="shared" si="15"/>
        <v>0</v>
      </c>
      <c r="AG20" s="72">
        <f t="shared" si="16"/>
        <v>0</v>
      </c>
      <c r="AH20" s="301"/>
      <c r="AU20" s="72">
        <f t="shared" si="17"/>
        <v>0</v>
      </c>
      <c r="AV20" s="72">
        <f t="shared" si="18"/>
        <v>0</v>
      </c>
      <c r="AW20" s="301"/>
      <c r="BD20" s="72">
        <f t="shared" si="19"/>
        <v>0</v>
      </c>
      <c r="BE20" s="182">
        <f t="shared" si="20"/>
        <v>0</v>
      </c>
      <c r="BF20" s="300"/>
    </row>
    <row r="21" spans="1:75" ht="15.75" thickBot="1" x14ac:dyDescent="0.3">
      <c r="A21" s="27"/>
      <c r="B21" s="27"/>
      <c r="C21" s="27"/>
      <c r="D21" s="27"/>
      <c r="E21" s="27"/>
      <c r="F21" s="28"/>
      <c r="G21" s="28" t="s">
        <v>160</v>
      </c>
      <c r="H21" s="29">
        <f t="shared" ref="H21:K21" si="21">SUM(H14:H20)</f>
        <v>15807.75</v>
      </c>
      <c r="I21" s="29">
        <f t="shared" si="21"/>
        <v>15807.75</v>
      </c>
      <c r="J21" s="29">
        <f t="shared" si="21"/>
        <v>15807.75</v>
      </c>
      <c r="K21" s="29">
        <f t="shared" si="21"/>
        <v>15807.75</v>
      </c>
      <c r="L21" s="29">
        <f>SUM(L14:L20)</f>
        <v>63231</v>
      </c>
      <c r="M21" s="28"/>
      <c r="N21" s="28"/>
      <c r="O21" s="28"/>
      <c r="P21" s="28"/>
      <c r="Q21" s="28"/>
      <c r="R21" s="28"/>
      <c r="S21" s="29">
        <f>SUM(S14:S20)</f>
        <v>42364.77</v>
      </c>
      <c r="T21" s="29">
        <f>SUM(T14:T20)</f>
        <v>20866.23</v>
      </c>
      <c r="U21" s="28"/>
      <c r="V21" s="28"/>
      <c r="W21" s="28"/>
      <c r="X21" s="28"/>
      <c r="Y21" s="306"/>
      <c r="Z21" s="28"/>
      <c r="AA21" s="28"/>
      <c r="AB21" s="28"/>
      <c r="AC21" s="28"/>
      <c r="AD21" s="28"/>
      <c r="AE21" s="28"/>
      <c r="AF21" s="29">
        <f>SUM(AF14:AF20)</f>
        <v>0</v>
      </c>
      <c r="AG21" s="29">
        <f>SUM(AG14:AG20)</f>
        <v>11142.56682</v>
      </c>
      <c r="AH21" s="306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9">
        <f>SUM(AU14:AU20)</f>
        <v>21182.384999999998</v>
      </c>
      <c r="AV21" s="29">
        <f>SUM(AV14:AV20)</f>
        <v>4861.8315899999998</v>
      </c>
      <c r="AW21" s="306"/>
      <c r="AX21" s="28"/>
      <c r="AY21" s="28"/>
      <c r="AZ21" s="28"/>
      <c r="BA21" s="28"/>
      <c r="BB21" s="28"/>
      <c r="BC21" s="28"/>
      <c r="BD21" s="29">
        <f>SUM(BD14:BD20)</f>
        <v>21182.384999999998</v>
      </c>
      <c r="BE21" s="29">
        <f>SUM(BE14:BE20)</f>
        <v>4861.8315899999998</v>
      </c>
      <c r="BF21" s="340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ht="15.75" thickTop="1" x14ac:dyDescent="0.25">
      <c r="G22" s="266" t="s">
        <v>696</v>
      </c>
      <c r="H22" s="266"/>
      <c r="I22" s="266"/>
      <c r="J22" s="266"/>
      <c r="K22" s="266"/>
      <c r="L22" s="540">
        <v>-7</v>
      </c>
      <c r="Y22" s="301"/>
      <c r="AF22" s="67"/>
      <c r="AG22" s="67"/>
      <c r="AH22" s="301"/>
      <c r="AU22" s="67"/>
      <c r="AV22" s="67"/>
      <c r="AW22" s="301"/>
      <c r="BD22" s="67"/>
      <c r="BE22" s="67"/>
      <c r="BF22" s="300"/>
    </row>
    <row r="23" spans="1:75" ht="15.75" thickBot="1" x14ac:dyDescent="0.3">
      <c r="A23" s="27"/>
      <c r="B23" s="27"/>
      <c r="C23" s="27"/>
      <c r="D23" s="27"/>
      <c r="E23" s="27"/>
      <c r="F23" s="28"/>
      <c r="G23" s="28" t="s">
        <v>161</v>
      </c>
      <c r="H23" s="29">
        <f t="shared" ref="H23:K23" si="22">H21+H11</f>
        <v>15807.75</v>
      </c>
      <c r="I23" s="29">
        <f t="shared" si="22"/>
        <v>15807.75</v>
      </c>
      <c r="J23" s="29">
        <f t="shared" si="22"/>
        <v>15807.75</v>
      </c>
      <c r="K23" s="29">
        <f t="shared" si="22"/>
        <v>15807.75</v>
      </c>
      <c r="L23" s="29">
        <f>L21+L11+L22</f>
        <v>63224</v>
      </c>
      <c r="M23" s="28"/>
      <c r="N23" s="28"/>
      <c r="O23" s="28"/>
      <c r="P23" s="28"/>
      <c r="Q23" s="28"/>
      <c r="R23" s="28"/>
      <c r="S23" s="29">
        <f>S21+S11</f>
        <v>42364.77</v>
      </c>
      <c r="T23" s="29">
        <f>T21+T11</f>
        <v>20866.23</v>
      </c>
      <c r="U23" s="28"/>
      <c r="V23" s="28"/>
      <c r="W23" s="28"/>
      <c r="X23" s="28"/>
      <c r="Y23" s="306"/>
      <c r="Z23" s="28"/>
      <c r="AA23" s="28"/>
      <c r="AB23" s="28"/>
      <c r="AC23" s="28"/>
      <c r="AD23" s="28"/>
      <c r="AE23" s="28"/>
      <c r="AF23" s="29">
        <f>AF21+AF11</f>
        <v>0</v>
      </c>
      <c r="AG23" s="29">
        <f>AG21+AG11</f>
        <v>11142.56682</v>
      </c>
      <c r="AH23" s="306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9">
        <f>AU21+AU11</f>
        <v>21182.384999999998</v>
      </c>
      <c r="AV23" s="29">
        <f>AV21+AV11</f>
        <v>4861.8315899999998</v>
      </c>
      <c r="AW23" s="306"/>
      <c r="AX23" s="28"/>
      <c r="AY23" s="28"/>
      <c r="AZ23" s="28"/>
      <c r="BA23" s="28"/>
      <c r="BB23" s="28"/>
      <c r="BC23" s="28"/>
      <c r="BD23" s="29">
        <f>BD21+BD11</f>
        <v>21182.384999999998</v>
      </c>
      <c r="BE23" s="29">
        <f>BE21+BE11</f>
        <v>4861.8315899999998</v>
      </c>
      <c r="BF23" s="340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75" ht="15.75" thickTop="1" x14ac:dyDescent="0.25">
      <c r="Y24" s="301"/>
      <c r="AF24" s="298">
        <f>AF23/S23</f>
        <v>0</v>
      </c>
      <c r="AG24" s="298">
        <f>AG23/T23</f>
        <v>0.53400000000000003</v>
      </c>
      <c r="AH24" s="301"/>
      <c r="AU24" s="298">
        <f>AU23/S23</f>
        <v>0.5</v>
      </c>
      <c r="AV24" s="298">
        <f>AV23/T23</f>
        <v>0.23299999999999998</v>
      </c>
      <c r="AW24" s="301"/>
      <c r="BD24" s="298">
        <f>BD23/S23</f>
        <v>0.5</v>
      </c>
      <c r="BE24" s="298">
        <f>BE23/T23</f>
        <v>0.23299999999999998</v>
      </c>
      <c r="BF24" s="300"/>
    </row>
    <row r="25" spans="1:75" x14ac:dyDescent="0.25">
      <c r="Y25" s="301"/>
      <c r="AF25" s="54" t="str">
        <f>IF(AF24=W$7,"TRUE","FALSE")</f>
        <v>TRUE</v>
      </c>
      <c r="AG25" s="54" t="str">
        <f>IF(AG24=X$7,"TRUE","FALSE")</f>
        <v>TRUE</v>
      </c>
      <c r="AH25" s="301"/>
      <c r="AU25" s="54" t="str">
        <f>IF(AU24=W$8,"TRUE","FALSE")</f>
        <v>TRUE</v>
      </c>
      <c r="AV25" s="54" t="str">
        <f>IF(AV24=X$8,"TRUE","FALSE")</f>
        <v>TRUE</v>
      </c>
      <c r="AW25" s="301"/>
      <c r="BD25" s="54" t="str">
        <f>IF(BD24=W$9,"TRUE","FALSE")</f>
        <v>TRUE</v>
      </c>
      <c r="BE25" s="54" t="str">
        <f>IF(BE24=X$9,"TRUE","FALSE")</f>
        <v>TRUE</v>
      </c>
      <c r="BF25" s="300"/>
    </row>
    <row r="26" spans="1:75" ht="6" customHeight="1" x14ac:dyDescent="0.25"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0"/>
    </row>
  </sheetData>
  <mergeCells count="16">
    <mergeCell ref="A6:G6"/>
    <mergeCell ref="A13:G13"/>
    <mergeCell ref="A1:N1"/>
    <mergeCell ref="A2:N2"/>
    <mergeCell ref="BS4:BW4"/>
    <mergeCell ref="AI4:AM4"/>
    <mergeCell ref="AO4:AS4"/>
    <mergeCell ref="AX4:BB4"/>
    <mergeCell ref="P4:Q4"/>
    <mergeCell ref="BG4:BK4"/>
    <mergeCell ref="BM4:BQ4"/>
    <mergeCell ref="AF4:AG4"/>
    <mergeCell ref="AU4:AV4"/>
    <mergeCell ref="BD4:BE4"/>
    <mergeCell ref="V4:X4"/>
    <mergeCell ref="Z4:AD4"/>
  </mergeCells>
  <conditionalFormatting sqref="N14:N20">
    <cfRule type="containsText" dxfId="763" priority="16" operator="containsText" text="Insurance">
      <formula>NOT(ISERROR(SEARCH("Insurance",N14)))</formula>
    </cfRule>
    <cfRule type="containsText" dxfId="762" priority="17" operator="containsText" text="Region 9">
      <formula>NOT(ISERROR(SEARCH("Region 9",N14)))</formula>
    </cfRule>
    <cfRule type="containsText" dxfId="761" priority="18" operator="containsText" text="ETM">
      <formula>NOT(ISERROR(SEARCH("ETM",N14)))</formula>
    </cfRule>
    <cfRule type="containsText" dxfId="760" priority="19" operator="containsText" text="Outfall">
      <formula>NOT(ISERROR(SEARCH("Outfall",N14)))</formula>
    </cfRule>
    <cfRule type="containsText" dxfId="759" priority="20" operator="containsText" text="Petroleum">
      <formula>NOT(ISERROR(SEARCH("Petroleum",N14)))</formula>
    </cfRule>
    <cfRule type="containsText" dxfId="758" priority="21" operator="containsText" text="Laboratory">
      <formula>NOT(ISERROR(SEARCH("Laboratory",N14)))</formula>
    </cfRule>
    <cfRule type="containsText" dxfId="757" priority="22" operator="containsText" text="Odor Control">
      <formula>NOT(ISERROR(SEARCH("Odor Control",N14)))</formula>
    </cfRule>
    <cfRule type="containsText" dxfId="756" priority="23" operator="containsText" text="Ferric">
      <formula>NOT(ISERROR(SEARCH("Ferric",N14)))</formula>
    </cfRule>
    <cfRule type="containsText" dxfId="755" priority="24" operator="containsText" text="Chlorine">
      <formula>NOT(ISERROR(SEARCH("Chlorine",N14)))</formula>
    </cfRule>
    <cfRule type="containsText" dxfId="754" priority="25" operator="containsText" text="Potable">
      <formula>NOT(ISERROR(SEARCH("Potable",N14)))</formula>
    </cfRule>
    <cfRule type="containsText" dxfId="753" priority="26" operator="containsText" text="Natural Gas">
      <formula>NOT(ISERROR(SEARCH("Natural Gas",N14)))</formula>
    </cfRule>
    <cfRule type="containsText" dxfId="752" priority="27" operator="containsText" text="Electricity">
      <formula>NOT(ISERROR(SEARCH("Electricity",N14)))</formula>
    </cfRule>
    <cfRule type="containsText" dxfId="751" priority="28" operator="containsText" text="Single Area">
      <formula>NOT(ISERROR(SEARCH("Single Area",N14)))</formula>
    </cfRule>
    <cfRule type="containsText" dxfId="750" priority="29" operator="containsText" text="Actual Use">
      <formula>NOT(ISERROR(SEARCH("Actual Use",N14)))</formula>
    </cfRule>
    <cfRule type="containsText" dxfId="749" priority="30" operator="containsText" text="Labor -">
      <formula>NOT(ISERROR(SEARCH("Labor -",N14)))</formula>
    </cfRule>
  </conditionalFormatting>
  <conditionalFormatting sqref="N7:N10">
    <cfRule type="containsText" dxfId="748" priority="1" operator="containsText" text="Insurance">
      <formula>NOT(ISERROR(SEARCH("Insurance",N7)))</formula>
    </cfRule>
    <cfRule type="containsText" dxfId="747" priority="2" operator="containsText" text="Region 9">
      <formula>NOT(ISERROR(SEARCH("Region 9",N7)))</formula>
    </cfRule>
    <cfRule type="containsText" dxfId="746" priority="3" operator="containsText" text="ETM">
      <formula>NOT(ISERROR(SEARCH("ETM",N7)))</formula>
    </cfRule>
    <cfRule type="containsText" dxfId="745" priority="4" operator="containsText" text="Outfall">
      <formula>NOT(ISERROR(SEARCH("Outfall",N7)))</formula>
    </cfRule>
    <cfRule type="containsText" dxfId="744" priority="5" operator="containsText" text="Petroleum">
      <formula>NOT(ISERROR(SEARCH("Petroleum",N7)))</formula>
    </cfRule>
    <cfRule type="containsText" dxfId="743" priority="6" operator="containsText" text="Laboratory">
      <formula>NOT(ISERROR(SEARCH("Laboratory",N7)))</formula>
    </cfRule>
    <cfRule type="containsText" dxfId="742" priority="7" operator="containsText" text="Odor Control">
      <formula>NOT(ISERROR(SEARCH("Odor Control",N7)))</formula>
    </cfRule>
    <cfRule type="containsText" dxfId="741" priority="8" operator="containsText" text="Ferric">
      <formula>NOT(ISERROR(SEARCH("Ferric",N7)))</formula>
    </cfRule>
    <cfRule type="containsText" dxfId="740" priority="9" operator="containsText" text="Chlorine">
      <formula>NOT(ISERROR(SEARCH("Chlorine",N7)))</formula>
    </cfRule>
    <cfRule type="containsText" dxfId="739" priority="10" operator="containsText" text="Potable">
      <formula>NOT(ISERROR(SEARCH("Potable",N7)))</formula>
    </cfRule>
    <cfRule type="containsText" dxfId="738" priority="11" operator="containsText" text="Natural Gas">
      <formula>NOT(ISERROR(SEARCH("Natural Gas",N7)))</formula>
    </cfRule>
    <cfRule type="containsText" dxfId="737" priority="12" operator="containsText" text="Electricity">
      <formula>NOT(ISERROR(SEARCH("Electricity",N7)))</formula>
    </cfRule>
    <cfRule type="containsText" dxfId="736" priority="13" operator="containsText" text="Single Area">
      <formula>NOT(ISERROR(SEARCH("Single Area",N7)))</formula>
    </cfRule>
    <cfRule type="containsText" dxfId="735" priority="14" operator="containsText" text="Actual Use">
      <formula>NOT(ISERROR(SEARCH("Actual Use",N7)))</formula>
    </cfRule>
    <cfRule type="containsText" dxfId="734" priority="15" operator="containsText" text="Labor -">
      <formula>NOT(ISERROR(SEARCH("Labor -",N7)))</formula>
    </cfRule>
  </conditionalFormatting>
  <dataValidations count="1">
    <dataValidation type="list" showInputMessage="1" showErrorMessage="1" sqref="N7:N10" xr:uid="{00000000-0002-0000-0800-000000000000}">
      <formula1>$A$6:$A$33</formula1>
    </dataValidation>
  </dataValidations>
  <pageMargins left="0.7" right="0.7" top="0.75" bottom="0.75" header="0.3" footer="0.3"/>
  <pageSetup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800-000001000000}">
          <x14:formula1>
            <xm:f>'Apportionment Bases'!$A$6:$A$33</xm:f>
          </x14:formula1>
          <xm:sqref>N14:N20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Apportionment Bases</vt:lpstr>
      <vt:lpstr>Apportionment Assumptions</vt:lpstr>
      <vt:lpstr>PC2</vt:lpstr>
      <vt:lpstr>PC5</vt:lpstr>
      <vt:lpstr>PC8</vt:lpstr>
      <vt:lpstr>PC12</vt:lpstr>
      <vt:lpstr>PC15</vt:lpstr>
      <vt:lpstr>PC17</vt:lpstr>
      <vt:lpstr>PC21</vt:lpstr>
      <vt:lpstr>PC24</vt:lpstr>
      <vt:lpstr>Cost Summary</vt:lpstr>
      <vt:lpstr>Functional Category Changes</vt:lpstr>
      <vt:lpstr>Apportionment Differences</vt:lpstr>
      <vt:lpstr>Definitions</vt:lpstr>
      <vt:lpstr>Proposed Changes</vt:lpstr>
      <vt:lpstr>Budget Book Data</vt:lpstr>
    </vt:vector>
  </TitlesOfParts>
  <Company>Carollo Engineers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Atkins</dc:creator>
  <cp:lastModifiedBy>Danita Hirsh</cp:lastModifiedBy>
  <cp:lastPrinted>2018-09-04T23:32:30Z</cp:lastPrinted>
  <dcterms:created xsi:type="dcterms:W3CDTF">2018-08-06T21:40:55Z</dcterms:created>
  <dcterms:modified xsi:type="dcterms:W3CDTF">2019-02-15T00:39:36Z</dcterms:modified>
</cp:coreProperties>
</file>